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checkCompatibility="1"/>
  <mc:AlternateContent xmlns:mc="http://schemas.openxmlformats.org/markup-compatibility/2006">
    <mc:Choice Requires="x15">
      <x15ac:absPath xmlns:x15ac="http://schemas.microsoft.com/office/spreadsheetml/2010/11/ac" url="/Users/naveedminhas/Desktop/Euro Oil Sites/Final/"/>
    </mc:Choice>
  </mc:AlternateContent>
  <xr:revisionPtr revIDLastSave="0" documentId="13_ncr:1_{A6284181-8913-6C4B-BDD5-BD82F3A98961}" xr6:coauthVersionLast="47" xr6:coauthVersionMax="47" xr10:uidLastSave="{00000000-0000-0000-0000-000000000000}"/>
  <bookViews>
    <workbookView xWindow="0" yWindow="500" windowWidth="28800" windowHeight="15980" tabRatio="859" activeTab="4" xr2:uid="{00000000-000D-0000-FFFF-FFFF00000000}"/>
  </bookViews>
  <sheets>
    <sheet name="PMG Master" sheetId="2" state="hidden" r:id="rId1"/>
    <sheet name="HSD Master" sheetId="1" state="hidden" r:id="rId2"/>
    <sheet name="PMG SAP ATA" sheetId="10" state="hidden" r:id="rId3"/>
    <sheet name="HSD SAP ATA" sheetId="11" state="hidden" r:id="rId4"/>
    <sheet name="Sheet1" sheetId="14" r:id="rId5"/>
    <sheet name="supply points" sheetId="9" state="hidden" r:id="rId6"/>
    <sheet name="SKO" sheetId="3" state="hidden" r:id="rId7"/>
    <sheet name="LDO" sheetId="4" state="hidden" r:id="rId8"/>
  </sheets>
  <definedNames>
    <definedName name="_xlnm._FilterDatabase" localSheetId="1" hidden="1">'HSD Master'!$A$7:$AF$54</definedName>
    <definedName name="_xlnm._FilterDatabase" localSheetId="3" hidden="1">'HSD SAP ATA'!$A$7:$AD$25</definedName>
    <definedName name="_xlnm._FilterDatabase" localSheetId="0" hidden="1">'PMG Master'!$A$7:$AF$56</definedName>
    <definedName name="_xlnm._FilterDatabase" localSheetId="2" hidden="1">'PMG SAP ATA'!$A$7:$AE$25</definedName>
    <definedName name="_xlnm.Print_Area" localSheetId="1">'HSD Master'!$A$1:$WPR$55</definedName>
    <definedName name="_xlnm.Print_Area" localSheetId="3">'HSD SAP ATA'!$A$1:$WPP$44</definedName>
    <definedName name="_xlnm.Print_Area" localSheetId="0">'PMG Master'!$A$1:$AF$58</definedName>
    <definedName name="_xlnm.Print_Area" localSheetId="2">'PMG SAP ATA'!$A$1:$AE$56</definedName>
    <definedName name="_xlnm.Print_Area" localSheetId="4">Sheet1!$A:$G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5" i="11" l="1"/>
  <c r="AA25" i="11" s="1"/>
  <c r="T25" i="11"/>
  <c r="X25" i="11" s="1"/>
  <c r="S25" i="11"/>
  <c r="I25" i="11"/>
  <c r="K25" i="11" s="1"/>
  <c r="N25" i="11" s="1"/>
  <c r="P25" i="11" s="1"/>
  <c r="Q25" i="11" s="1"/>
  <c r="R25" i="11" s="1"/>
  <c r="D25" i="11"/>
  <c r="C25" i="11"/>
  <c r="B25" i="11"/>
  <c r="Z24" i="11"/>
  <c r="AA24" i="11" s="1"/>
  <c r="T24" i="11"/>
  <c r="AF24" i="11" s="1"/>
  <c r="S24" i="11"/>
  <c r="I24" i="11"/>
  <c r="K24" i="11" s="1"/>
  <c r="N24" i="11" s="1"/>
  <c r="P24" i="11" s="1"/>
  <c r="Q24" i="11" s="1"/>
  <c r="R24" i="11" s="1"/>
  <c r="C24" i="11"/>
  <c r="Z23" i="11"/>
  <c r="AA23" i="11" s="1"/>
  <c r="T23" i="11"/>
  <c r="X23" i="11" s="1"/>
  <c r="AH23" i="11" s="1"/>
  <c r="S23" i="11"/>
  <c r="I23" i="11"/>
  <c r="K23" i="11" s="1"/>
  <c r="N23" i="11" s="1"/>
  <c r="P23" i="11" s="1"/>
  <c r="Q23" i="11" s="1"/>
  <c r="R23" i="11" s="1"/>
  <c r="C23" i="11"/>
  <c r="Z22" i="11"/>
  <c r="AA22" i="11" s="1"/>
  <c r="T22" i="11"/>
  <c r="X22" i="11" s="1"/>
  <c r="AH22" i="11" s="1"/>
  <c r="S22" i="11"/>
  <c r="I22" i="11"/>
  <c r="K22" i="11" s="1"/>
  <c r="N22" i="11" s="1"/>
  <c r="P22" i="11" s="1"/>
  <c r="Q22" i="11" s="1"/>
  <c r="R22" i="11" s="1"/>
  <c r="C22" i="11"/>
  <c r="Z21" i="11"/>
  <c r="AA21" i="11" s="1"/>
  <c r="T21" i="11"/>
  <c r="AF21" i="11" s="1"/>
  <c r="S21" i="11"/>
  <c r="I21" i="11"/>
  <c r="K21" i="11" s="1"/>
  <c r="N21" i="11" s="1"/>
  <c r="P21" i="11" s="1"/>
  <c r="Q21" i="11" s="1"/>
  <c r="R21" i="11" s="1"/>
  <c r="C21" i="11"/>
  <c r="Z20" i="11"/>
  <c r="AA20" i="11" s="1"/>
  <c r="T20" i="11"/>
  <c r="AF20" i="11" s="1"/>
  <c r="S20" i="11"/>
  <c r="I20" i="11"/>
  <c r="K20" i="11" s="1"/>
  <c r="N20" i="11" s="1"/>
  <c r="P20" i="11" s="1"/>
  <c r="Q20" i="11" s="1"/>
  <c r="R20" i="11" s="1"/>
  <c r="F20" i="11"/>
  <c r="D20" i="11"/>
  <c r="C20" i="11"/>
  <c r="B20" i="11"/>
  <c r="Z19" i="11"/>
  <c r="AA19" i="11" s="1"/>
  <c r="T19" i="11"/>
  <c r="AF19" i="11" s="1"/>
  <c r="S19" i="11"/>
  <c r="I19" i="11"/>
  <c r="K19" i="11" s="1"/>
  <c r="N19" i="11" s="1"/>
  <c r="P19" i="11" s="1"/>
  <c r="Q19" i="11" s="1"/>
  <c r="R19" i="11" s="1"/>
  <c r="C19" i="11"/>
  <c r="Z18" i="11"/>
  <c r="AA18" i="11" s="1"/>
  <c r="T18" i="11"/>
  <c r="X18" i="11" s="1"/>
  <c r="S18" i="11"/>
  <c r="I18" i="11"/>
  <c r="K18" i="11" s="1"/>
  <c r="N18" i="11" s="1"/>
  <c r="P18" i="11" s="1"/>
  <c r="Q18" i="11" s="1"/>
  <c r="R18" i="11" s="1"/>
  <c r="C18" i="11"/>
  <c r="Z17" i="11"/>
  <c r="AA17" i="11" s="1"/>
  <c r="T17" i="11"/>
  <c r="AF17" i="11" s="1"/>
  <c r="S17" i="11"/>
  <c r="I17" i="11"/>
  <c r="K17" i="11" s="1"/>
  <c r="N17" i="11" s="1"/>
  <c r="P17" i="11" s="1"/>
  <c r="Q17" i="11" s="1"/>
  <c r="R17" i="11" s="1"/>
  <c r="C17" i="11"/>
  <c r="Z16" i="11"/>
  <c r="AA16" i="11" s="1"/>
  <c r="T16" i="11"/>
  <c r="X16" i="11" s="1"/>
  <c r="S16" i="11"/>
  <c r="I16" i="11"/>
  <c r="K16" i="11" s="1"/>
  <c r="N16" i="11" s="1"/>
  <c r="P16" i="11" s="1"/>
  <c r="Q16" i="11" s="1"/>
  <c r="R16" i="11" s="1"/>
  <c r="C16" i="11"/>
  <c r="Z15" i="11"/>
  <c r="AA15" i="11" s="1"/>
  <c r="T15" i="11"/>
  <c r="AF15" i="11" s="1"/>
  <c r="S15" i="11"/>
  <c r="I15" i="11"/>
  <c r="K15" i="11" s="1"/>
  <c r="N15" i="11" s="1"/>
  <c r="P15" i="11" s="1"/>
  <c r="Q15" i="11" s="1"/>
  <c r="R15" i="11" s="1"/>
  <c r="E15" i="11"/>
  <c r="C15" i="11"/>
  <c r="B15" i="11"/>
  <c r="Z14" i="11"/>
  <c r="AA14" i="11" s="1"/>
  <c r="T14" i="11"/>
  <c r="X14" i="11" s="1"/>
  <c r="S14" i="11"/>
  <c r="I14" i="11"/>
  <c r="K14" i="11" s="1"/>
  <c r="N14" i="11" s="1"/>
  <c r="P14" i="11" s="1"/>
  <c r="Q14" i="11" s="1"/>
  <c r="R14" i="11" s="1"/>
  <c r="C14" i="11"/>
  <c r="Z13" i="11"/>
  <c r="AA13" i="11" s="1"/>
  <c r="T13" i="11"/>
  <c r="AF13" i="11" s="1"/>
  <c r="S13" i="11"/>
  <c r="I13" i="11"/>
  <c r="K13" i="11" s="1"/>
  <c r="N13" i="11" s="1"/>
  <c r="P13" i="11" s="1"/>
  <c r="Q13" i="11" s="1"/>
  <c r="R13" i="11" s="1"/>
  <c r="C13" i="11"/>
  <c r="Z12" i="11"/>
  <c r="AA12" i="11" s="1"/>
  <c r="T12" i="11"/>
  <c r="AF12" i="11" s="1"/>
  <c r="S12" i="11"/>
  <c r="I12" i="11"/>
  <c r="K12" i="11" s="1"/>
  <c r="N12" i="11" s="1"/>
  <c r="P12" i="11" s="1"/>
  <c r="Q12" i="11" s="1"/>
  <c r="R12" i="11" s="1"/>
  <c r="C12" i="11"/>
  <c r="Z11" i="11"/>
  <c r="AA11" i="11" s="1"/>
  <c r="T11" i="11"/>
  <c r="X11" i="11" s="1"/>
  <c r="S11" i="11"/>
  <c r="I11" i="11"/>
  <c r="K11" i="11" s="1"/>
  <c r="N11" i="11" s="1"/>
  <c r="P11" i="11" s="1"/>
  <c r="Q11" i="11" s="1"/>
  <c r="R11" i="11" s="1"/>
  <c r="C11" i="11"/>
  <c r="Z10" i="11"/>
  <c r="AA10" i="11" s="1"/>
  <c r="T10" i="11"/>
  <c r="X10" i="11" s="1"/>
  <c r="S10" i="11"/>
  <c r="I10" i="11"/>
  <c r="K10" i="11" s="1"/>
  <c r="N10" i="11" s="1"/>
  <c r="P10" i="11" s="1"/>
  <c r="Q10" i="11" s="1"/>
  <c r="R10" i="11" s="1"/>
  <c r="C10" i="11"/>
  <c r="A10" i="1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F9" i="11"/>
  <c r="Z9" i="11"/>
  <c r="AA9" i="11" s="1"/>
  <c r="T9" i="11"/>
  <c r="X9" i="11" s="1"/>
  <c r="S9" i="11"/>
  <c r="I9" i="11"/>
  <c r="K9" i="11" s="1"/>
  <c r="N9" i="11" s="1"/>
  <c r="P9" i="11" s="1"/>
  <c r="Q9" i="11" s="1"/>
  <c r="R9" i="11" s="1"/>
  <c r="C9" i="11"/>
  <c r="AF25" i="10"/>
  <c r="AA25" i="10"/>
  <c r="AB25" i="10" s="1"/>
  <c r="U25" i="10"/>
  <c r="T25" i="10"/>
  <c r="J25" i="10"/>
  <c r="L25" i="10" s="1"/>
  <c r="O25" i="10" s="1"/>
  <c r="Q25" i="10" s="1"/>
  <c r="F25" i="10"/>
  <c r="AA24" i="10"/>
  <c r="AB24" i="10" s="1"/>
  <c r="U24" i="10"/>
  <c r="AG24" i="10" s="1"/>
  <c r="T24" i="10"/>
  <c r="J24" i="10"/>
  <c r="L24" i="10" s="1"/>
  <c r="O24" i="10" s="1"/>
  <c r="Q24" i="10" s="1"/>
  <c r="F24" i="10"/>
  <c r="AF23" i="10"/>
  <c r="AA23" i="10"/>
  <c r="AB23" i="10" s="1"/>
  <c r="U23" i="10"/>
  <c r="AG23" i="10" s="1"/>
  <c r="T23" i="10"/>
  <c r="J23" i="10"/>
  <c r="L23" i="10" s="1"/>
  <c r="O23" i="10" s="1"/>
  <c r="Q23" i="10" s="1"/>
  <c r="F23" i="10"/>
  <c r="AA22" i="10"/>
  <c r="AB22" i="10" s="1"/>
  <c r="U22" i="10"/>
  <c r="AG22" i="10" s="1"/>
  <c r="T22" i="10"/>
  <c r="J22" i="10"/>
  <c r="L22" i="10" s="1"/>
  <c r="O22" i="10" s="1"/>
  <c r="Q22" i="10" s="1"/>
  <c r="F22" i="10"/>
  <c r="AA21" i="10"/>
  <c r="AB21" i="10" s="1"/>
  <c r="U21" i="10"/>
  <c r="AG21" i="10" s="1"/>
  <c r="T21" i="10"/>
  <c r="J21" i="10"/>
  <c r="L21" i="10" s="1"/>
  <c r="O21" i="10" s="1"/>
  <c r="Q21" i="10" s="1"/>
  <c r="R21" i="10" s="1"/>
  <c r="F21" i="10"/>
  <c r="AA20" i="10"/>
  <c r="AB20" i="10" s="1"/>
  <c r="U20" i="10"/>
  <c r="Y20" i="10" s="1"/>
  <c r="T20" i="10"/>
  <c r="L20" i="10"/>
  <c r="O20" i="10" s="1"/>
  <c r="Q20" i="10" s="1"/>
  <c r="J20" i="10"/>
  <c r="F20" i="10"/>
  <c r="AA19" i="10"/>
  <c r="AB19" i="10" s="1"/>
  <c r="U19" i="10"/>
  <c r="AG19" i="10" s="1"/>
  <c r="T19" i="10"/>
  <c r="J19" i="10"/>
  <c r="L19" i="10" s="1"/>
  <c r="O19" i="10" s="1"/>
  <c r="Q19" i="10" s="1"/>
  <c r="F19" i="10"/>
  <c r="AA18" i="10"/>
  <c r="AB18" i="10" s="1"/>
  <c r="U18" i="10"/>
  <c r="AG18" i="10" s="1"/>
  <c r="T18" i="10"/>
  <c r="J18" i="10"/>
  <c r="L18" i="10" s="1"/>
  <c r="O18" i="10" s="1"/>
  <c r="Q18" i="10" s="1"/>
  <c r="R18" i="10" s="1"/>
  <c r="S18" i="10" s="1"/>
  <c r="F18" i="10"/>
  <c r="AA17" i="10"/>
  <c r="AB17" i="10" s="1"/>
  <c r="U17" i="10"/>
  <c r="AG17" i="10" s="1"/>
  <c r="T17" i="10"/>
  <c r="J17" i="10"/>
  <c r="L17" i="10" s="1"/>
  <c r="O17" i="10" s="1"/>
  <c r="Q17" i="10" s="1"/>
  <c r="F17" i="10"/>
  <c r="AA16" i="10"/>
  <c r="AB16" i="10" s="1"/>
  <c r="U16" i="10"/>
  <c r="Y16" i="10" s="1"/>
  <c r="T16" i="10"/>
  <c r="J16" i="10"/>
  <c r="L16" i="10" s="1"/>
  <c r="O16" i="10" s="1"/>
  <c r="Q16" i="10" s="1"/>
  <c r="F16" i="10"/>
  <c r="AA15" i="10"/>
  <c r="AB15" i="10" s="1"/>
  <c r="Y15" i="10"/>
  <c r="U15" i="10"/>
  <c r="AG15" i="10" s="1"/>
  <c r="T15" i="10"/>
  <c r="J15" i="10"/>
  <c r="L15" i="10" s="1"/>
  <c r="O15" i="10" s="1"/>
  <c r="Q15" i="10" s="1"/>
  <c r="F15" i="10"/>
  <c r="AA14" i="10"/>
  <c r="AB14" i="10" s="1"/>
  <c r="U14" i="10"/>
  <c r="AG14" i="10" s="1"/>
  <c r="T14" i="10"/>
  <c r="J14" i="10"/>
  <c r="L14" i="10" s="1"/>
  <c r="O14" i="10" s="1"/>
  <c r="Q14" i="10" s="1"/>
  <c r="F14" i="10"/>
  <c r="AA13" i="10"/>
  <c r="AB13" i="10" s="1"/>
  <c r="U13" i="10"/>
  <c r="AG13" i="10" s="1"/>
  <c r="T13" i="10"/>
  <c r="J13" i="10"/>
  <c r="L13" i="10" s="1"/>
  <c r="O13" i="10" s="1"/>
  <c r="Q13" i="10" s="1"/>
  <c r="R13" i="10" s="1"/>
  <c r="F13" i="10"/>
  <c r="AA12" i="10"/>
  <c r="AF12" i="10" s="1"/>
  <c r="AF9" i="10" s="1"/>
  <c r="U12" i="10"/>
  <c r="AG12" i="10" s="1"/>
  <c r="T12" i="10"/>
  <c r="J12" i="10"/>
  <c r="L12" i="10" s="1"/>
  <c r="O12" i="10" s="1"/>
  <c r="Q12" i="10" s="1"/>
  <c r="F12" i="10"/>
  <c r="AA11" i="10"/>
  <c r="AB11" i="10" s="1"/>
  <c r="U11" i="10"/>
  <c r="AG11" i="10" s="1"/>
  <c r="T11" i="10"/>
  <c r="J11" i="10"/>
  <c r="L11" i="10" s="1"/>
  <c r="O11" i="10" s="1"/>
  <c r="Q11" i="10" s="1"/>
  <c r="R11" i="10" s="1"/>
  <c r="F11" i="10"/>
  <c r="AA10" i="10"/>
  <c r="AB10" i="10" s="1"/>
  <c r="U10" i="10"/>
  <c r="AG10" i="10" s="1"/>
  <c r="T10" i="10"/>
  <c r="J10" i="10"/>
  <c r="L10" i="10" s="1"/>
  <c r="O10" i="10" s="1"/>
  <c r="Q10" i="10" s="1"/>
  <c r="F10" i="10"/>
  <c r="D10" i="10"/>
  <c r="D11" i="10" s="1"/>
  <c r="D12" i="10" s="1"/>
  <c r="A10" i="10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A9" i="10"/>
  <c r="AB9" i="10" s="1"/>
  <c r="U9" i="10"/>
  <c r="Y9" i="10" s="1"/>
  <c r="T9" i="10"/>
  <c r="J9" i="10"/>
  <c r="L9" i="10" s="1"/>
  <c r="O9" i="10" s="1"/>
  <c r="Q9" i="10" s="1"/>
  <c r="F9" i="10"/>
  <c r="E25" i="11"/>
  <c r="E23" i="11"/>
  <c r="E21" i="11"/>
  <c r="E19" i="11"/>
  <c r="E18" i="11"/>
  <c r="E17" i="11"/>
  <c r="E16" i="11"/>
  <c r="E13" i="11"/>
  <c r="E11" i="11"/>
  <c r="E10" i="11"/>
  <c r="E9" i="11"/>
  <c r="Y14" i="10" l="1"/>
  <c r="AI14" i="10" s="1"/>
  <c r="AI20" i="10"/>
  <c r="AF22" i="11"/>
  <c r="AF10" i="11"/>
  <c r="Y22" i="10"/>
  <c r="AI22" i="10" s="1"/>
  <c r="AH11" i="11"/>
  <c r="X13" i="11"/>
  <c r="AH13" i="11" s="1"/>
  <c r="AF14" i="11"/>
  <c r="AH9" i="11"/>
  <c r="AF11" i="11"/>
  <c r="AH14" i="11"/>
  <c r="X21" i="11"/>
  <c r="AH21" i="11" s="1"/>
  <c r="AI15" i="10"/>
  <c r="AF23" i="11"/>
  <c r="R24" i="10"/>
  <c r="S24" i="10" s="1"/>
  <c r="AB12" i="10"/>
  <c r="Y13" i="10"/>
  <c r="AI13" i="10" s="1"/>
  <c r="Y21" i="10"/>
  <c r="AI21" i="10" s="1"/>
  <c r="X12" i="11"/>
  <c r="AH12" i="11" s="1"/>
  <c r="X24" i="11"/>
  <c r="AH24" i="11" s="1"/>
  <c r="AI9" i="10"/>
  <c r="AH16" i="11"/>
  <c r="AH18" i="11"/>
  <c r="Y11" i="10"/>
  <c r="AI11" i="10" s="1"/>
  <c r="Y17" i="10"/>
  <c r="Y18" i="10"/>
  <c r="AI18" i="10" s="1"/>
  <c r="Y24" i="10"/>
  <c r="AI24" i="10" s="1"/>
  <c r="X20" i="11"/>
  <c r="AH20" i="11" s="1"/>
  <c r="AG16" i="10"/>
  <c r="E20" i="11"/>
  <c r="E12" i="11"/>
  <c r="E14" i="11"/>
  <c r="E22" i="11"/>
  <c r="E24" i="11"/>
  <c r="AD12" i="11"/>
  <c r="Y12" i="11"/>
  <c r="AC12" i="11" s="1"/>
  <c r="AD14" i="11"/>
  <c r="Y14" i="11"/>
  <c r="AC14" i="11" s="1"/>
  <c r="AD11" i="11"/>
  <c r="Y11" i="11"/>
  <c r="AC11" i="11" s="1"/>
  <c r="AD13" i="11"/>
  <c r="Y13" i="11"/>
  <c r="AC13" i="11" s="1"/>
  <c r="AD9" i="11"/>
  <c r="Y9" i="11"/>
  <c r="AC9" i="11" s="1"/>
  <c r="AD16" i="11"/>
  <c r="Y16" i="11"/>
  <c r="AC16" i="11" s="1"/>
  <c r="AD18" i="11"/>
  <c r="Y18" i="11"/>
  <c r="AC18" i="11" s="1"/>
  <c r="AD20" i="11"/>
  <c r="AD21" i="11"/>
  <c r="Y21" i="11"/>
  <c r="AC21" i="11" s="1"/>
  <c r="AD22" i="11"/>
  <c r="Y22" i="11"/>
  <c r="AC22" i="11" s="1"/>
  <c r="AD23" i="11"/>
  <c r="Y23" i="11"/>
  <c r="AC23" i="11" s="1"/>
  <c r="AD24" i="11"/>
  <c r="AD10" i="11"/>
  <c r="Y10" i="11"/>
  <c r="AC10" i="11" s="1"/>
  <c r="AD15" i="11"/>
  <c r="AD17" i="11"/>
  <c r="AD19" i="11"/>
  <c r="AD25" i="11"/>
  <c r="Y25" i="11"/>
  <c r="AC25" i="11" s="1"/>
  <c r="AH10" i="11"/>
  <c r="X15" i="11"/>
  <c r="AH15" i="11" s="1"/>
  <c r="AF16" i="11"/>
  <c r="X17" i="11"/>
  <c r="AH17" i="11" s="1"/>
  <c r="AF18" i="11"/>
  <c r="X19" i="11"/>
  <c r="AH19" i="11" s="1"/>
  <c r="R16" i="10"/>
  <c r="S16" i="10" s="1"/>
  <c r="R10" i="10"/>
  <c r="S10" i="10" s="1"/>
  <c r="R12" i="10"/>
  <c r="S12" i="10" s="1"/>
  <c r="R19" i="10"/>
  <c r="S19" i="10" s="1"/>
  <c r="R22" i="10"/>
  <c r="S22" i="10" s="1"/>
  <c r="R14" i="10"/>
  <c r="S14" i="10" s="1"/>
  <c r="R17" i="10"/>
  <c r="S17" i="10" s="1"/>
  <c r="Z18" i="10"/>
  <c r="AD18" i="10" s="1"/>
  <c r="AE18" i="10"/>
  <c r="R20" i="10"/>
  <c r="S20" i="10" s="1"/>
  <c r="R25" i="10"/>
  <c r="S25" i="10" s="1"/>
  <c r="AI17" i="10"/>
  <c r="Y19" i="10"/>
  <c r="AI19" i="10" s="1"/>
  <c r="AG20" i="10"/>
  <c r="S21" i="10"/>
  <c r="Y23" i="10"/>
  <c r="AI23" i="10" s="1"/>
  <c r="AG9" i="10"/>
  <c r="R23" i="10"/>
  <c r="S23" i="10" s="1"/>
  <c r="AG25" i="10"/>
  <c r="Y25" i="10"/>
  <c r="AI25" i="10" s="1"/>
  <c r="R9" i="10"/>
  <c r="S9" i="10" s="1"/>
  <c r="Y10" i="10"/>
  <c r="AI10" i="10" s="1"/>
  <c r="S11" i="10"/>
  <c r="Y12" i="10"/>
  <c r="AI12" i="10" s="1"/>
  <c r="S13" i="10"/>
  <c r="R15" i="10"/>
  <c r="S15" i="10" s="1"/>
  <c r="AI16" i="10"/>
  <c r="AH18" i="10" l="1"/>
  <c r="Z24" i="10"/>
  <c r="AD24" i="10" s="1"/>
  <c r="AE24" i="10"/>
  <c r="Y24" i="11"/>
  <c r="AC24" i="11" s="1"/>
  <c r="AG24" i="11" s="1"/>
  <c r="AI24" i="11" s="1"/>
  <c r="AJ24" i="11" s="1"/>
  <c r="Y20" i="11"/>
  <c r="AC20" i="11" s="1"/>
  <c r="AG20" i="11" s="1"/>
  <c r="AI20" i="11" s="1"/>
  <c r="AJ20" i="11" s="1"/>
  <c r="AG22" i="11"/>
  <c r="AI22" i="11" s="1"/>
  <c r="AJ22" i="11" s="1"/>
  <c r="AG16" i="11"/>
  <c r="AI16" i="11" s="1"/>
  <c r="AJ16" i="11" s="1"/>
  <c r="AG13" i="11"/>
  <c r="AI13" i="11" s="1"/>
  <c r="AJ13" i="11" s="1"/>
  <c r="AG14" i="11"/>
  <c r="AI14" i="11" s="1"/>
  <c r="AJ14" i="11" s="1"/>
  <c r="Y15" i="11"/>
  <c r="AC15" i="11" s="1"/>
  <c r="AG15" i="11" s="1"/>
  <c r="Y19" i="11"/>
  <c r="AC19" i="11" s="1"/>
  <c r="AG19" i="11" s="1"/>
  <c r="Y17" i="11"/>
  <c r="AC17" i="11" s="1"/>
  <c r="AG10" i="11"/>
  <c r="AI10" i="11" s="1"/>
  <c r="AJ10" i="11" s="1"/>
  <c r="AG23" i="11"/>
  <c r="AI23" i="11" s="1"/>
  <c r="AJ23" i="11" s="1"/>
  <c r="AG21" i="11"/>
  <c r="AI21" i="11" s="1"/>
  <c r="AJ21" i="11" s="1"/>
  <c r="AG18" i="11"/>
  <c r="AI18" i="11" s="1"/>
  <c r="AJ18" i="11" s="1"/>
  <c r="AG9" i="11"/>
  <c r="AI9" i="11" s="1"/>
  <c r="AJ9" i="11" s="1"/>
  <c r="AG11" i="11"/>
  <c r="AI11" i="11" s="1"/>
  <c r="AJ11" i="11" s="1"/>
  <c r="AG12" i="11"/>
  <c r="AI12" i="11" s="1"/>
  <c r="AJ12" i="11" s="1"/>
  <c r="AE20" i="10"/>
  <c r="Z20" i="10"/>
  <c r="AD20" i="10" s="1"/>
  <c r="AE12" i="10"/>
  <c r="Z12" i="10"/>
  <c r="AD12" i="10" s="1"/>
  <c r="AE19" i="10"/>
  <c r="Z19" i="10"/>
  <c r="AD19" i="10" s="1"/>
  <c r="AE10" i="10"/>
  <c r="Z10" i="10"/>
  <c r="AD10" i="10" s="1"/>
  <c r="AE9" i="10"/>
  <c r="Z9" i="10"/>
  <c r="AD9" i="10" s="1"/>
  <c r="AE15" i="10"/>
  <c r="Z15" i="10"/>
  <c r="AD15" i="10" s="1"/>
  <c r="AE14" i="10"/>
  <c r="Z14" i="10"/>
  <c r="AD14" i="10" s="1"/>
  <c r="AE23" i="10"/>
  <c r="Z23" i="10"/>
  <c r="AD23" i="10" s="1"/>
  <c r="AE25" i="10"/>
  <c r="Z25" i="10"/>
  <c r="AD25" i="10" s="1"/>
  <c r="AE22" i="10"/>
  <c r="Z22" i="10"/>
  <c r="AD22" i="10" s="1"/>
  <c r="AE16" i="10"/>
  <c r="Z16" i="10"/>
  <c r="AD16" i="10" s="1"/>
  <c r="Z11" i="10"/>
  <c r="AD11" i="10" s="1"/>
  <c r="AE11" i="10"/>
  <c r="AH11" i="10" s="1"/>
  <c r="AJ18" i="10"/>
  <c r="AK18" i="10" s="1"/>
  <c r="AE21" i="10"/>
  <c r="Z21" i="10"/>
  <c r="AD21" i="10" s="1"/>
  <c r="AE17" i="10"/>
  <c r="AH17" i="10" s="1"/>
  <c r="Z17" i="10"/>
  <c r="AD17" i="10" s="1"/>
  <c r="Z13" i="10"/>
  <c r="AD13" i="10" s="1"/>
  <c r="AE13" i="10"/>
  <c r="AH24" i="10" l="1"/>
  <c r="AJ24" i="10" s="1"/>
  <c r="AK24" i="10" s="1"/>
  <c r="AH21" i="10"/>
  <c r="AI15" i="11"/>
  <c r="AJ15" i="11" s="1"/>
  <c r="AG17" i="11"/>
  <c r="AI17" i="11" s="1"/>
  <c r="AJ17" i="11" s="1"/>
  <c r="AI19" i="11"/>
  <c r="AJ19" i="11" s="1"/>
  <c r="AF24" i="10"/>
  <c r="AH13" i="10"/>
  <c r="AJ13" i="10" s="1"/>
  <c r="AK13" i="10" s="1"/>
  <c r="AJ21" i="10"/>
  <c r="AK21" i="10" s="1"/>
  <c r="AJ11" i="10"/>
  <c r="AK11" i="10" s="1"/>
  <c r="AH22" i="10"/>
  <c r="AJ22" i="10" s="1"/>
  <c r="AK22" i="10" s="1"/>
  <c r="AH23" i="10"/>
  <c r="AJ23" i="10" s="1"/>
  <c r="AK23" i="10" s="1"/>
  <c r="AH15" i="10"/>
  <c r="AJ15" i="10" s="1"/>
  <c r="AK15" i="10" s="1"/>
  <c r="AH10" i="10"/>
  <c r="AJ10" i="10" s="1"/>
  <c r="AK10" i="10" s="1"/>
  <c r="AH12" i="10"/>
  <c r="AJ12" i="10" s="1"/>
  <c r="AK12" i="10" s="1"/>
  <c r="AJ17" i="10"/>
  <c r="AK17" i="10" s="1"/>
  <c r="AH16" i="10"/>
  <c r="AJ16" i="10" s="1"/>
  <c r="AK16" i="10" s="1"/>
  <c r="AH25" i="10"/>
  <c r="AJ25" i="10" s="1"/>
  <c r="AK25" i="10" s="1"/>
  <c r="AH14" i="10"/>
  <c r="AJ14" i="10" s="1"/>
  <c r="AK14" i="10" s="1"/>
  <c r="AH9" i="10"/>
  <c r="AJ9" i="10" s="1"/>
  <c r="AK9" i="10" s="1"/>
  <c r="AH19" i="10"/>
  <c r="AJ19" i="10" s="1"/>
  <c r="AK19" i="10" s="1"/>
  <c r="AH20" i="10"/>
  <c r="AJ20" i="10" s="1"/>
  <c r="AK20" i="10" s="1"/>
  <c r="AA13" i="2" l="1"/>
  <c r="AA56" i="2"/>
  <c r="AB56" i="2" s="1"/>
  <c r="AA55" i="1"/>
  <c r="AB55" i="1" s="1"/>
  <c r="T55" i="1"/>
  <c r="X55" i="1" s="1"/>
  <c r="S55" i="1"/>
  <c r="R55" i="1"/>
  <c r="H55" i="1"/>
  <c r="J55" i="1" s="1"/>
  <c r="M55" i="1" s="1"/>
  <c r="O55" i="1" s="1"/>
  <c r="D55" i="1"/>
  <c r="T56" i="2"/>
  <c r="X56" i="2" s="1"/>
  <c r="S56" i="2"/>
  <c r="R56" i="2"/>
  <c r="H56" i="2"/>
  <c r="J56" i="2" s="1"/>
  <c r="M56" i="2" s="1"/>
  <c r="O56" i="2" s="1"/>
  <c r="P56" i="2" l="1"/>
  <c r="Q56" i="2" s="1"/>
  <c r="AF56" i="2" s="1"/>
  <c r="T25" i="2"/>
  <c r="S25" i="2"/>
  <c r="R25" i="2"/>
  <c r="C25" i="1"/>
  <c r="B25" i="1"/>
  <c r="E36" i="1"/>
  <c r="D36" i="1"/>
  <c r="C36" i="1"/>
  <c r="B36" i="1"/>
  <c r="B54" i="1"/>
  <c r="D54" i="1"/>
  <c r="C54" i="1"/>
  <c r="T54" i="1"/>
  <c r="X54" i="1" s="1"/>
  <c r="S54" i="1"/>
  <c r="R54" i="1"/>
  <c r="H54" i="1"/>
  <c r="J54" i="1" s="1"/>
  <c r="M54" i="1" s="1"/>
  <c r="O54" i="1" s="1"/>
  <c r="AA25" i="2"/>
  <c r="AA25" i="1" s="1"/>
  <c r="AA21" i="2"/>
  <c r="AA54" i="2"/>
  <c r="AA54" i="1" s="1"/>
  <c r="AB54" i="1" s="1"/>
  <c r="AA36" i="2"/>
  <c r="AA36" i="1" s="1"/>
  <c r="AA33" i="2"/>
  <c r="AA55" i="2"/>
  <c r="AB55" i="2" s="1"/>
  <c r="T55" i="2"/>
  <c r="X55" i="2" s="1"/>
  <c r="S55" i="2"/>
  <c r="R55" i="2"/>
  <c r="H55" i="2"/>
  <c r="J55" i="2" s="1"/>
  <c r="M55" i="2" s="1"/>
  <c r="O55" i="2" s="1"/>
  <c r="AB54" i="2"/>
  <c r="T54" i="2"/>
  <c r="X54" i="2" s="1"/>
  <c r="S54" i="2"/>
  <c r="R54" i="2"/>
  <c r="H54" i="2"/>
  <c r="J54" i="2" s="1"/>
  <c r="M54" i="2" s="1"/>
  <c r="O54" i="2" s="1"/>
  <c r="AJ54" i="2" l="1"/>
  <c r="Z56" i="2"/>
  <c r="AE56" i="2" s="1"/>
  <c r="Y56" i="2"/>
  <c r="AD56" i="2" s="1"/>
  <c r="AH54" i="2"/>
  <c r="P55" i="2"/>
  <c r="Q55" i="2" s="1"/>
  <c r="P54" i="2"/>
  <c r="Q54" i="2" s="1"/>
  <c r="AA33" i="1"/>
  <c r="AA21" i="1"/>
  <c r="AA13" i="1"/>
  <c r="C50" i="1"/>
  <c r="C49" i="1"/>
  <c r="C48" i="1"/>
  <c r="C39" i="1"/>
  <c r="C33" i="1"/>
  <c r="C30" i="1"/>
  <c r="C29" i="1"/>
  <c r="C28" i="1"/>
  <c r="C21" i="1"/>
  <c r="C19" i="1"/>
  <c r="C13" i="1"/>
  <c r="C12" i="1"/>
  <c r="C11" i="1"/>
  <c r="C10" i="1"/>
  <c r="AA50" i="2"/>
  <c r="AA50" i="1" s="1"/>
  <c r="AA49" i="2"/>
  <c r="AA49" i="1" s="1"/>
  <c r="AA48" i="2"/>
  <c r="AA48" i="1" s="1"/>
  <c r="AA39" i="2"/>
  <c r="AA39" i="1" s="1"/>
  <c r="AA30" i="2"/>
  <c r="AA30" i="1" s="1"/>
  <c r="AA29" i="2"/>
  <c r="AA29" i="1" s="1"/>
  <c r="AA28" i="2"/>
  <c r="AA28" i="1" s="1"/>
  <c r="AA12" i="2"/>
  <c r="AA12" i="1" s="1"/>
  <c r="AF55" i="2" l="1"/>
  <c r="Z55" i="2"/>
  <c r="AE55" i="2" s="1"/>
  <c r="Y55" i="2"/>
  <c r="AD55" i="2" s="1"/>
  <c r="AF54" i="2"/>
  <c r="Z54" i="2"/>
  <c r="AE54" i="2" s="1"/>
  <c r="Y54" i="2"/>
  <c r="AD54" i="2" s="1"/>
  <c r="AA53" i="2"/>
  <c r="AB53" i="2" s="1"/>
  <c r="T53" i="2"/>
  <c r="X53" i="2" s="1"/>
  <c r="S53" i="2"/>
  <c r="R53" i="2"/>
  <c r="H53" i="2"/>
  <c r="J53" i="2" s="1"/>
  <c r="M53" i="2" s="1"/>
  <c r="O53" i="2" s="1"/>
  <c r="H52" i="2"/>
  <c r="J52" i="2" s="1"/>
  <c r="M52" i="2" s="1"/>
  <c r="O52" i="2" s="1"/>
  <c r="AA53" i="1"/>
  <c r="T53" i="1"/>
  <c r="X53" i="1" s="1"/>
  <c r="S53" i="1"/>
  <c r="R53" i="1"/>
  <c r="H53" i="1"/>
  <c r="J53" i="1" s="1"/>
  <c r="M53" i="1" s="1"/>
  <c r="O53" i="1" s="1"/>
  <c r="AA52" i="1"/>
  <c r="AB52" i="1" s="1"/>
  <c r="T52" i="1"/>
  <c r="AH52" i="1" s="1"/>
  <c r="S52" i="1"/>
  <c r="R52" i="1"/>
  <c r="H52" i="1"/>
  <c r="J52" i="1" s="1"/>
  <c r="M52" i="1" s="1"/>
  <c r="O52" i="1" s="1"/>
  <c r="AA52" i="2"/>
  <c r="AB52" i="2" s="1"/>
  <c r="T52" i="2"/>
  <c r="AH52" i="2" s="1"/>
  <c r="S52" i="2"/>
  <c r="R52" i="2"/>
  <c r="AJ53" i="2" l="1"/>
  <c r="AI54" i="2"/>
  <c r="AK54" i="2" s="1"/>
  <c r="AL54" i="2" s="1"/>
  <c r="X52" i="1"/>
  <c r="AJ52" i="1" s="1"/>
  <c r="X52" i="2"/>
  <c r="AJ52" i="2" s="1"/>
  <c r="P53" i="2"/>
  <c r="Q53" i="2" s="1"/>
  <c r="AH53" i="2"/>
  <c r="P52" i="2"/>
  <c r="Q52" i="2" s="1"/>
  <c r="AB53" i="1"/>
  <c r="AA51" i="1"/>
  <c r="AB51" i="1" s="1"/>
  <c r="T51" i="1"/>
  <c r="X51" i="1" s="1"/>
  <c r="S51" i="1"/>
  <c r="R51" i="1"/>
  <c r="H51" i="1"/>
  <c r="J51" i="1" s="1"/>
  <c r="M51" i="1" s="1"/>
  <c r="O51" i="1" s="1"/>
  <c r="AA51" i="2"/>
  <c r="AB51" i="2" s="1"/>
  <c r="T51" i="2"/>
  <c r="X51" i="2" s="1"/>
  <c r="S51" i="2"/>
  <c r="R51" i="2"/>
  <c r="H51" i="2"/>
  <c r="J51" i="2" s="1"/>
  <c r="M51" i="2" s="1"/>
  <c r="O51" i="2" s="1"/>
  <c r="AH51" i="1" l="1"/>
  <c r="AJ51" i="2"/>
  <c r="AJ51" i="1"/>
  <c r="P51" i="2"/>
  <c r="Q51" i="2" s="1"/>
  <c r="Z53" i="2"/>
  <c r="AE53" i="2" s="1"/>
  <c r="AF53" i="2"/>
  <c r="Y53" i="2"/>
  <c r="AD53" i="2" s="1"/>
  <c r="AH51" i="2"/>
  <c r="Y52" i="2"/>
  <c r="AD52" i="2" s="1"/>
  <c r="AF52" i="2"/>
  <c r="Z52" i="2"/>
  <c r="AE52" i="2" s="1"/>
  <c r="T49" i="2"/>
  <c r="AH49" i="2" s="1"/>
  <c r="T49" i="1"/>
  <c r="AH49" i="1" s="1"/>
  <c r="AI52" i="2" l="1"/>
  <c r="AK52" i="2" s="1"/>
  <c r="AL52" i="2" s="1"/>
  <c r="AI53" i="2"/>
  <c r="AK53" i="2" s="1"/>
  <c r="AL53" i="2" s="1"/>
  <c r="Z51" i="2"/>
  <c r="AE51" i="2" s="1"/>
  <c r="Y51" i="2"/>
  <c r="AD51" i="2" s="1"/>
  <c r="AF51" i="2"/>
  <c r="AA47" i="2"/>
  <c r="AA46" i="2"/>
  <c r="AA45" i="2"/>
  <c r="AA44" i="2"/>
  <c r="AA43" i="2"/>
  <c r="AA42" i="2"/>
  <c r="AA41" i="2"/>
  <c r="AA40" i="2"/>
  <c r="AA38" i="2"/>
  <c r="AA37" i="2"/>
  <c r="AA35" i="2"/>
  <c r="AA34" i="2"/>
  <c r="AA32" i="2"/>
  <c r="AA31" i="2"/>
  <c r="AA27" i="2"/>
  <c r="AA26" i="2"/>
  <c r="AA24" i="2"/>
  <c r="AA23" i="2"/>
  <c r="AA22" i="2"/>
  <c r="AA20" i="2"/>
  <c r="AA19" i="2"/>
  <c r="AA19" i="1" s="1"/>
  <c r="AA18" i="2"/>
  <c r="AA17" i="2"/>
  <c r="AA16" i="2"/>
  <c r="AA15" i="2"/>
  <c r="AA14" i="2"/>
  <c r="AA11" i="2"/>
  <c r="AA11" i="1" s="1"/>
  <c r="AA10" i="2"/>
  <c r="AA10" i="1" s="1"/>
  <c r="AA9" i="2"/>
  <c r="AA47" i="1"/>
  <c r="AA46" i="1"/>
  <c r="AA45" i="1"/>
  <c r="AA43" i="1"/>
  <c r="AA35" i="1"/>
  <c r="AA34" i="1"/>
  <c r="AA32" i="1"/>
  <c r="AA31" i="1"/>
  <c r="AA24" i="1"/>
  <c r="AA18" i="1"/>
  <c r="AA16" i="1"/>
  <c r="AA14" i="1"/>
  <c r="AA44" i="1"/>
  <c r="AA42" i="1"/>
  <c r="AA41" i="1"/>
  <c r="AA40" i="1"/>
  <c r="AA38" i="1"/>
  <c r="AA37" i="1"/>
  <c r="AA27" i="1"/>
  <c r="AA26" i="1"/>
  <c r="AA23" i="1"/>
  <c r="AA22" i="1"/>
  <c r="AA20" i="1"/>
  <c r="AA15" i="1"/>
  <c r="AA9" i="1"/>
  <c r="AI51" i="2" l="1"/>
  <c r="AK51" i="2"/>
  <c r="AL51" i="2" s="1"/>
  <c r="AB50" i="1"/>
  <c r="T50" i="1"/>
  <c r="S50" i="1"/>
  <c r="R50" i="1"/>
  <c r="H50" i="1"/>
  <c r="J50" i="1" s="1"/>
  <c r="M50" i="1" s="1"/>
  <c r="O50" i="1" s="1"/>
  <c r="AB50" i="2"/>
  <c r="T50" i="2"/>
  <c r="S50" i="2"/>
  <c r="R50" i="2"/>
  <c r="H50" i="2"/>
  <c r="J50" i="2" s="1"/>
  <c r="M50" i="2" s="1"/>
  <c r="O50" i="2" s="1"/>
  <c r="X50" i="1" l="1"/>
  <c r="AJ50" i="1" s="1"/>
  <c r="AH50" i="1"/>
  <c r="X50" i="2"/>
  <c r="AJ50" i="2" s="1"/>
  <c r="AH50" i="2"/>
  <c r="P50" i="2"/>
  <c r="AB49" i="1"/>
  <c r="X49" i="1"/>
  <c r="S49" i="1"/>
  <c r="R49" i="1"/>
  <c r="H49" i="1"/>
  <c r="J49" i="1" s="1"/>
  <c r="M49" i="1" s="1"/>
  <c r="O49" i="1" s="1"/>
  <c r="AB49" i="2"/>
  <c r="X49" i="2"/>
  <c r="S49" i="2"/>
  <c r="R49" i="2"/>
  <c r="H49" i="2"/>
  <c r="J49" i="2" s="1"/>
  <c r="M49" i="2" s="1"/>
  <c r="O49" i="2" s="1"/>
  <c r="AJ49" i="1" l="1"/>
  <c r="AJ49" i="2"/>
  <c r="Q50" i="2"/>
  <c r="AF50" i="2" s="1"/>
  <c r="P49" i="2"/>
  <c r="Q49" i="2" s="1"/>
  <c r="Y50" i="2" l="1"/>
  <c r="AD50" i="2" s="1"/>
  <c r="AI50" i="2" s="1"/>
  <c r="AK50" i="2" s="1"/>
  <c r="AL50" i="2" s="1"/>
  <c r="Z50" i="2"/>
  <c r="AE50" i="2" s="1"/>
  <c r="Y49" i="2"/>
  <c r="AD49" i="2" s="1"/>
  <c r="Z49" i="2"/>
  <c r="AE49" i="2" s="1"/>
  <c r="AF49" i="2"/>
  <c r="AB10" i="1"/>
  <c r="AI49" i="2" l="1"/>
  <c r="AK49" i="2" s="1"/>
  <c r="AL49" i="2" s="1"/>
  <c r="AB48" i="1"/>
  <c r="T48" i="1"/>
  <c r="AH48" i="1" s="1"/>
  <c r="S48" i="1"/>
  <c r="R48" i="1"/>
  <c r="H48" i="1"/>
  <c r="J48" i="1" s="1"/>
  <c r="M48" i="1" s="1"/>
  <c r="O48" i="1" s="1"/>
  <c r="AB48" i="2"/>
  <c r="T48" i="2"/>
  <c r="S48" i="2"/>
  <c r="R48" i="2"/>
  <c r="H48" i="2"/>
  <c r="J48" i="2" s="1"/>
  <c r="M48" i="2" s="1"/>
  <c r="O48" i="2" s="1"/>
  <c r="P48" i="2" l="1"/>
  <c r="X48" i="1"/>
  <c r="AJ48" i="1" s="1"/>
  <c r="X48" i="2"/>
  <c r="AJ48" i="2" s="1"/>
  <c r="AH48" i="2"/>
  <c r="T47" i="1"/>
  <c r="AH47" i="1" s="1"/>
  <c r="T46" i="1"/>
  <c r="T45" i="1"/>
  <c r="AH45" i="1" s="1"/>
  <c r="T44" i="1"/>
  <c r="AH44" i="1" s="1"/>
  <c r="T43" i="1"/>
  <c r="AH43" i="1" s="1"/>
  <c r="T42" i="1"/>
  <c r="AH42" i="1" s="1"/>
  <c r="T41" i="1"/>
  <c r="AH41" i="1" s="1"/>
  <c r="T40" i="1"/>
  <c r="AH40" i="1" s="1"/>
  <c r="T39" i="1"/>
  <c r="AH39" i="1" s="1"/>
  <c r="T38" i="1"/>
  <c r="AH38" i="1" s="1"/>
  <c r="T37" i="1"/>
  <c r="AH37" i="1" s="1"/>
  <c r="T36" i="1"/>
  <c r="AH36" i="1" s="1"/>
  <c r="T35" i="1"/>
  <c r="AH35" i="1" s="1"/>
  <c r="T34" i="1"/>
  <c r="AH34" i="1" s="1"/>
  <c r="T33" i="1"/>
  <c r="AH33" i="1" s="1"/>
  <c r="T32" i="1"/>
  <c r="AH32" i="1" s="1"/>
  <c r="T31" i="1"/>
  <c r="AH31" i="1" s="1"/>
  <c r="T30" i="1"/>
  <c r="AH30" i="1" s="1"/>
  <c r="T29" i="1"/>
  <c r="AH29" i="1" s="1"/>
  <c r="T28" i="1"/>
  <c r="T27" i="1"/>
  <c r="AH27" i="1" s="1"/>
  <c r="T26" i="1"/>
  <c r="AH26" i="1" s="1"/>
  <c r="T25" i="1"/>
  <c r="AH25" i="1" s="1"/>
  <c r="T24" i="1"/>
  <c r="AH24" i="1" s="1"/>
  <c r="T23" i="1"/>
  <c r="AH23" i="1" s="1"/>
  <c r="T22" i="1"/>
  <c r="AH22" i="1" s="1"/>
  <c r="T21" i="1"/>
  <c r="AH21" i="1" s="1"/>
  <c r="T20" i="1"/>
  <c r="AH20" i="1" s="1"/>
  <c r="T19" i="1"/>
  <c r="AH19" i="1" s="1"/>
  <c r="T18" i="1"/>
  <c r="AH18" i="1" s="1"/>
  <c r="T17" i="1"/>
  <c r="AH17" i="1" s="1"/>
  <c r="T16" i="1"/>
  <c r="AH16" i="1" s="1"/>
  <c r="T15" i="1"/>
  <c r="AH15" i="1" s="1"/>
  <c r="T14" i="1"/>
  <c r="AH14" i="1" s="1"/>
  <c r="T13" i="1"/>
  <c r="AH13" i="1" s="1"/>
  <c r="T12" i="1"/>
  <c r="AH12" i="1" s="1"/>
  <c r="T11" i="1"/>
  <c r="AH11" i="1" s="1"/>
  <c r="T10" i="1"/>
  <c r="AH10" i="1" s="1"/>
  <c r="T9" i="1"/>
  <c r="AH9" i="1" s="1"/>
  <c r="T47" i="2"/>
  <c r="T46" i="2"/>
  <c r="T45" i="2"/>
  <c r="T44" i="2"/>
  <c r="AH44" i="2" s="1"/>
  <c r="T43" i="2"/>
  <c r="T42" i="2"/>
  <c r="T41" i="2"/>
  <c r="T40" i="2"/>
  <c r="T39" i="2"/>
  <c r="T38" i="2"/>
  <c r="T37" i="2"/>
  <c r="AH37" i="2" s="1"/>
  <c r="T36" i="2"/>
  <c r="T35" i="2"/>
  <c r="T34" i="2"/>
  <c r="T33" i="2"/>
  <c r="T32" i="2"/>
  <c r="T31" i="2"/>
  <c r="T30" i="2"/>
  <c r="T29" i="2"/>
  <c r="T28" i="2"/>
  <c r="T27" i="2"/>
  <c r="T26" i="2"/>
  <c r="T24" i="2"/>
  <c r="T23" i="2"/>
  <c r="T22" i="2"/>
  <c r="T21" i="2"/>
  <c r="AH21" i="2" s="1"/>
  <c r="T20" i="2"/>
  <c r="AH20" i="2" s="1"/>
  <c r="T19" i="2"/>
  <c r="T18" i="2"/>
  <c r="T17" i="2"/>
  <c r="T16" i="2"/>
  <c r="T15" i="2"/>
  <c r="T14" i="2"/>
  <c r="T13" i="2"/>
  <c r="T12" i="2"/>
  <c r="T11" i="2"/>
  <c r="T10" i="2"/>
  <c r="T9" i="2"/>
  <c r="AB47" i="2"/>
  <c r="AB46" i="2"/>
  <c r="AB45" i="2"/>
  <c r="AB44" i="2"/>
  <c r="AB43" i="2"/>
  <c r="AB36" i="2"/>
  <c r="AB35" i="2"/>
  <c r="AB34" i="2"/>
  <c r="AB32" i="2"/>
  <c r="AB31" i="2"/>
  <c r="AB29" i="2"/>
  <c r="AB28" i="2"/>
  <c r="AB27" i="2"/>
  <c r="AB26" i="2"/>
  <c r="AB25" i="2"/>
  <c r="AB24" i="2"/>
  <c r="AB18" i="2"/>
  <c r="AB16" i="2"/>
  <c r="AB14" i="2"/>
  <c r="AB12" i="2"/>
  <c r="AB10" i="2"/>
  <c r="AB46" i="1"/>
  <c r="AB45" i="1"/>
  <c r="AB44" i="1"/>
  <c r="AB43" i="1"/>
  <c r="AB41" i="1"/>
  <c r="AB40" i="1"/>
  <c r="AB37" i="1"/>
  <c r="AB36" i="1"/>
  <c r="AB35" i="1"/>
  <c r="AB30" i="1"/>
  <c r="AB29" i="1"/>
  <c r="AB28" i="1"/>
  <c r="AB23" i="1"/>
  <c r="AB22" i="1"/>
  <c r="AB20" i="1"/>
  <c r="AB19" i="1"/>
  <c r="AA17" i="1"/>
  <c r="AB17" i="1" s="1"/>
  <c r="AB14" i="1"/>
  <c r="AB13" i="1"/>
  <c r="AB12" i="1"/>
  <c r="AB11" i="1"/>
  <c r="AB47" i="1"/>
  <c r="AB42" i="1"/>
  <c r="AB39" i="1"/>
  <c r="AB38" i="1"/>
  <c r="AB34" i="1"/>
  <c r="AB33" i="1"/>
  <c r="AB31" i="1"/>
  <c r="AB27" i="1"/>
  <c r="AB26" i="1"/>
  <c r="AB25" i="1"/>
  <c r="AB21" i="1"/>
  <c r="AB18" i="1"/>
  <c r="AB15" i="1"/>
  <c r="AB9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S47" i="2"/>
  <c r="R47" i="2"/>
  <c r="S46" i="2"/>
  <c r="R46" i="2"/>
  <c r="S45" i="2"/>
  <c r="R45" i="2"/>
  <c r="S44" i="2"/>
  <c r="R44" i="2"/>
  <c r="S43" i="2"/>
  <c r="R43" i="2"/>
  <c r="S42" i="2"/>
  <c r="R42" i="2"/>
  <c r="S41" i="2"/>
  <c r="R41" i="2"/>
  <c r="S40" i="2"/>
  <c r="R40" i="2"/>
  <c r="S39" i="2"/>
  <c r="R39" i="2"/>
  <c r="S38" i="2"/>
  <c r="R38" i="2"/>
  <c r="S37" i="2"/>
  <c r="R37" i="2"/>
  <c r="S36" i="2"/>
  <c r="R36" i="2"/>
  <c r="S35" i="2"/>
  <c r="R35" i="2"/>
  <c r="S34" i="2"/>
  <c r="R34" i="2"/>
  <c r="S33" i="2"/>
  <c r="R33" i="2"/>
  <c r="S32" i="2"/>
  <c r="R32" i="2"/>
  <c r="S31" i="2"/>
  <c r="R31" i="2"/>
  <c r="S30" i="2"/>
  <c r="R30" i="2"/>
  <c r="S29" i="2"/>
  <c r="R29" i="2"/>
  <c r="S28" i="2"/>
  <c r="R28" i="2"/>
  <c r="S27" i="2"/>
  <c r="R27" i="2"/>
  <c r="S26" i="2"/>
  <c r="R26" i="2"/>
  <c r="S24" i="2"/>
  <c r="R24" i="2"/>
  <c r="S23" i="2"/>
  <c r="R23" i="2"/>
  <c r="S22" i="2"/>
  <c r="R22" i="2"/>
  <c r="S21" i="2"/>
  <c r="R21" i="2"/>
  <c r="S20" i="2"/>
  <c r="R20" i="2"/>
  <c r="S19" i="2"/>
  <c r="R19" i="2"/>
  <c r="S18" i="2"/>
  <c r="R18" i="2"/>
  <c r="S17" i="2"/>
  <c r="R17" i="2"/>
  <c r="S16" i="2"/>
  <c r="R16" i="2"/>
  <c r="S15" i="2"/>
  <c r="R15" i="2"/>
  <c r="S14" i="2"/>
  <c r="R14" i="2"/>
  <c r="S13" i="2"/>
  <c r="R13" i="2"/>
  <c r="S12" i="2"/>
  <c r="R12" i="2"/>
  <c r="S11" i="2"/>
  <c r="R11" i="2"/>
  <c r="S10" i="2"/>
  <c r="R10" i="2"/>
  <c r="AB42" i="2"/>
  <c r="AB41" i="2"/>
  <c r="AB39" i="2"/>
  <c r="AB38" i="2"/>
  <c r="AB33" i="2"/>
  <c r="AB30" i="2"/>
  <c r="AB23" i="2"/>
  <c r="AB22" i="2"/>
  <c r="AB20" i="2"/>
  <c r="AB17" i="2"/>
  <c r="AB15" i="2"/>
  <c r="AB13" i="2"/>
  <c r="AB11" i="2"/>
  <c r="AB9" i="2"/>
  <c r="S9" i="2"/>
  <c r="R9" i="2"/>
  <c r="X33" i="1" l="1"/>
  <c r="X28" i="1"/>
  <c r="AJ28" i="1" s="1"/>
  <c r="AH28" i="1"/>
  <c r="X46" i="1"/>
  <c r="AJ46" i="1" s="1"/>
  <c r="AH46" i="1"/>
  <c r="AJ33" i="1"/>
  <c r="Q48" i="2"/>
  <c r="Z48" i="2" s="1"/>
  <c r="AE48" i="2" s="1"/>
  <c r="X44" i="2"/>
  <c r="AJ44" i="2" s="1"/>
  <c r="X20" i="1"/>
  <c r="AJ20" i="1" s="1"/>
  <c r="X20" i="2"/>
  <c r="AJ20" i="2" s="1"/>
  <c r="X23" i="1"/>
  <c r="AJ23" i="1" s="1"/>
  <c r="X39" i="1"/>
  <c r="AJ39" i="1" s="1"/>
  <c r="X16" i="1"/>
  <c r="AJ16" i="1" s="1"/>
  <c r="X9" i="1"/>
  <c r="AJ9" i="1" s="1"/>
  <c r="X17" i="1"/>
  <c r="AJ17" i="1" s="1"/>
  <c r="X25" i="1"/>
  <c r="AJ25" i="1" s="1"/>
  <c r="X41" i="1"/>
  <c r="AJ41" i="1" s="1"/>
  <c r="X24" i="1"/>
  <c r="AJ24" i="1" s="1"/>
  <c r="X32" i="1"/>
  <c r="AJ32" i="1" s="1"/>
  <c r="X40" i="1"/>
  <c r="AJ40" i="1" s="1"/>
  <c r="X10" i="1"/>
  <c r="AJ10" i="1" s="1"/>
  <c r="X18" i="1"/>
  <c r="AJ18" i="1" s="1"/>
  <c r="X26" i="1"/>
  <c r="AJ26" i="1" s="1"/>
  <c r="X34" i="1"/>
  <c r="AJ34" i="1" s="1"/>
  <c r="X42" i="1"/>
  <c r="AJ42" i="1" s="1"/>
  <c r="X11" i="1"/>
  <c r="AJ11" i="1" s="1"/>
  <c r="X19" i="1"/>
  <c r="AJ19" i="1" s="1"/>
  <c r="X27" i="1"/>
  <c r="AJ27" i="1" s="1"/>
  <c r="X35" i="1"/>
  <c r="AJ35" i="1" s="1"/>
  <c r="X43" i="1"/>
  <c r="AJ43" i="1" s="1"/>
  <c r="X12" i="1"/>
  <c r="AJ12" i="1" s="1"/>
  <c r="X36" i="1"/>
  <c r="AJ36" i="1" s="1"/>
  <c r="X44" i="1"/>
  <c r="AJ44" i="1" s="1"/>
  <c r="X13" i="1"/>
  <c r="AJ13" i="1" s="1"/>
  <c r="X21" i="1"/>
  <c r="AJ21" i="1" s="1"/>
  <c r="X29" i="1"/>
  <c r="AJ29" i="1" s="1"/>
  <c r="X37" i="1"/>
  <c r="AJ37" i="1" s="1"/>
  <c r="X45" i="1"/>
  <c r="AJ45" i="1" s="1"/>
  <c r="X14" i="1"/>
  <c r="AJ14" i="1" s="1"/>
  <c r="X22" i="1"/>
  <c r="AJ22" i="1" s="1"/>
  <c r="X30" i="1"/>
  <c r="AJ30" i="1" s="1"/>
  <c r="X38" i="1"/>
  <c r="AJ38" i="1" s="1"/>
  <c r="X47" i="1"/>
  <c r="AJ47" i="1" s="1"/>
  <c r="X14" i="2"/>
  <c r="AJ14" i="2" s="1"/>
  <c r="AH14" i="2"/>
  <c r="X22" i="2"/>
  <c r="AJ22" i="2" s="1"/>
  <c r="AH22" i="2"/>
  <c r="X30" i="2"/>
  <c r="AJ30" i="2" s="1"/>
  <c r="AH30" i="2"/>
  <c r="X38" i="2"/>
  <c r="AJ38" i="2" s="1"/>
  <c r="AH38" i="2"/>
  <c r="X46" i="2"/>
  <c r="AJ46" i="2" s="1"/>
  <c r="AH46" i="2"/>
  <c r="X15" i="2"/>
  <c r="AJ15" i="2" s="1"/>
  <c r="AH15" i="2"/>
  <c r="X23" i="2"/>
  <c r="AJ23" i="2" s="1"/>
  <c r="AH23" i="2"/>
  <c r="X31" i="2"/>
  <c r="AJ31" i="2" s="1"/>
  <c r="AH31" i="2"/>
  <c r="X39" i="2"/>
  <c r="AJ39" i="2" s="1"/>
  <c r="AH39" i="2"/>
  <c r="X47" i="2"/>
  <c r="AJ47" i="2" s="1"/>
  <c r="AH47" i="2"/>
  <c r="X24" i="2"/>
  <c r="AJ24" i="2" s="1"/>
  <c r="AH24" i="2"/>
  <c r="X32" i="2"/>
  <c r="AJ32" i="2" s="1"/>
  <c r="AH32" i="2"/>
  <c r="X40" i="2"/>
  <c r="AJ40" i="2" s="1"/>
  <c r="AH40" i="2"/>
  <c r="X9" i="2"/>
  <c r="AJ9" i="2" s="1"/>
  <c r="AH9" i="2"/>
  <c r="X17" i="2"/>
  <c r="AJ17" i="2" s="1"/>
  <c r="AH17" i="2"/>
  <c r="X33" i="2"/>
  <c r="AJ33" i="2" s="1"/>
  <c r="AH33" i="2"/>
  <c r="X41" i="2"/>
  <c r="AJ41" i="2" s="1"/>
  <c r="AH41" i="2"/>
  <c r="X10" i="2"/>
  <c r="AJ10" i="2" s="1"/>
  <c r="AH10" i="2"/>
  <c r="X18" i="2"/>
  <c r="AJ18" i="2" s="1"/>
  <c r="AH18" i="2"/>
  <c r="X26" i="2"/>
  <c r="AJ26" i="2" s="1"/>
  <c r="AH26" i="2"/>
  <c r="X34" i="2"/>
  <c r="AJ34" i="2" s="1"/>
  <c r="AH34" i="2"/>
  <c r="X42" i="2"/>
  <c r="AJ42" i="2" s="1"/>
  <c r="AH42" i="2"/>
  <c r="X16" i="2"/>
  <c r="AJ16" i="2" s="1"/>
  <c r="AH16" i="2"/>
  <c r="X25" i="2"/>
  <c r="AJ25" i="2" s="1"/>
  <c r="AH25" i="2"/>
  <c r="X11" i="2"/>
  <c r="AJ11" i="2" s="1"/>
  <c r="AH11" i="2"/>
  <c r="X19" i="2"/>
  <c r="AJ19" i="2" s="1"/>
  <c r="AH19" i="2"/>
  <c r="X27" i="2"/>
  <c r="AJ27" i="2" s="1"/>
  <c r="AH27" i="2"/>
  <c r="X35" i="2"/>
  <c r="AJ35" i="2" s="1"/>
  <c r="AH35" i="2"/>
  <c r="X43" i="2"/>
  <c r="AJ43" i="2" s="1"/>
  <c r="AH43" i="2"/>
  <c r="X12" i="2"/>
  <c r="AJ12" i="2" s="1"/>
  <c r="AH12" i="2"/>
  <c r="X28" i="2"/>
  <c r="AJ28" i="2" s="1"/>
  <c r="AH28" i="2"/>
  <c r="X36" i="2"/>
  <c r="AJ36" i="2" s="1"/>
  <c r="AH36" i="2"/>
  <c r="X13" i="2"/>
  <c r="AJ13" i="2" s="1"/>
  <c r="AH13" i="2"/>
  <c r="X29" i="2"/>
  <c r="AJ29" i="2" s="1"/>
  <c r="AH29" i="2"/>
  <c r="X45" i="2"/>
  <c r="AJ45" i="2" s="1"/>
  <c r="AH45" i="2"/>
  <c r="X21" i="2"/>
  <c r="X37" i="2"/>
  <c r="X31" i="1"/>
  <c r="AJ31" i="1" s="1"/>
  <c r="X15" i="1"/>
  <c r="AJ15" i="1" s="1"/>
  <c r="AB19" i="2"/>
  <c r="AB21" i="2"/>
  <c r="AB37" i="2"/>
  <c r="AB40" i="2"/>
  <c r="AB16" i="1"/>
  <c r="AB24" i="1"/>
  <c r="AB32" i="1"/>
  <c r="AF48" i="2" l="1"/>
  <c r="Y48" i="2"/>
  <c r="AD48" i="2" s="1"/>
  <c r="AJ37" i="2"/>
  <c r="AJ21" i="2"/>
  <c r="AI48" i="2" l="1"/>
  <c r="AK48" i="2" s="1"/>
  <c r="AL48" i="2" s="1"/>
  <c r="G46" i="3"/>
  <c r="I46" i="3" s="1"/>
  <c r="L46" i="3" s="1"/>
  <c r="N46" i="3" s="1"/>
  <c r="G45" i="3"/>
  <c r="I45" i="3" s="1"/>
  <c r="L45" i="3" s="1"/>
  <c r="N45" i="3" s="1"/>
  <c r="G44" i="3"/>
  <c r="I44" i="3" s="1"/>
  <c r="L44" i="3" s="1"/>
  <c r="N44" i="3" s="1"/>
  <c r="G43" i="3"/>
  <c r="I43" i="3" s="1"/>
  <c r="L43" i="3" s="1"/>
  <c r="N43" i="3" s="1"/>
  <c r="G42" i="3"/>
  <c r="I42" i="3" s="1"/>
  <c r="L42" i="3" s="1"/>
  <c r="N42" i="3" s="1"/>
  <c r="G41" i="3"/>
  <c r="I41" i="3" s="1"/>
  <c r="G40" i="3"/>
  <c r="I40" i="3" s="1"/>
  <c r="L40" i="3" s="1"/>
  <c r="N40" i="3" s="1"/>
  <c r="G39" i="3"/>
  <c r="I39" i="3" s="1"/>
  <c r="L39" i="3" s="1"/>
  <c r="N39" i="3" s="1"/>
  <c r="G38" i="3"/>
  <c r="I38" i="3" s="1"/>
  <c r="L38" i="3" s="1"/>
  <c r="N38" i="3" s="1"/>
  <c r="G37" i="3"/>
  <c r="I37" i="3" s="1"/>
  <c r="L37" i="3" s="1"/>
  <c r="N37" i="3" s="1"/>
  <c r="G36" i="3"/>
  <c r="I36" i="3" s="1"/>
  <c r="L36" i="3" s="1"/>
  <c r="N36" i="3" s="1"/>
  <c r="G35" i="3"/>
  <c r="I35" i="3" s="1"/>
  <c r="L35" i="3" s="1"/>
  <c r="N35" i="3" s="1"/>
  <c r="G34" i="3"/>
  <c r="I34" i="3" s="1"/>
  <c r="L34" i="3" s="1"/>
  <c r="N34" i="3" s="1"/>
  <c r="G33" i="3"/>
  <c r="I33" i="3" s="1"/>
  <c r="G32" i="3"/>
  <c r="I32" i="3" s="1"/>
  <c r="L32" i="3" s="1"/>
  <c r="N32" i="3" s="1"/>
  <c r="G31" i="3"/>
  <c r="I31" i="3" s="1"/>
  <c r="L31" i="3" s="1"/>
  <c r="N31" i="3" s="1"/>
  <c r="G30" i="3"/>
  <c r="I30" i="3" s="1"/>
  <c r="L30" i="3" s="1"/>
  <c r="N30" i="3" s="1"/>
  <c r="G29" i="3"/>
  <c r="I29" i="3" s="1"/>
  <c r="L29" i="3" s="1"/>
  <c r="N29" i="3" s="1"/>
  <c r="G28" i="3"/>
  <c r="I28" i="3" s="1"/>
  <c r="L28" i="3" s="1"/>
  <c r="N28" i="3" s="1"/>
  <c r="G27" i="3"/>
  <c r="I27" i="3" s="1"/>
  <c r="L27" i="3" s="1"/>
  <c r="N27" i="3" s="1"/>
  <c r="G26" i="3"/>
  <c r="I26" i="3" s="1"/>
  <c r="L26" i="3" s="1"/>
  <c r="N26" i="3" s="1"/>
  <c r="G25" i="3"/>
  <c r="I25" i="3" s="1"/>
  <c r="G24" i="3"/>
  <c r="I24" i="3" s="1"/>
  <c r="L24" i="3" s="1"/>
  <c r="N24" i="3" s="1"/>
  <c r="G23" i="3"/>
  <c r="I23" i="3" s="1"/>
  <c r="L23" i="3" s="1"/>
  <c r="N23" i="3" s="1"/>
  <c r="G22" i="3"/>
  <c r="I22" i="3" s="1"/>
  <c r="L22" i="3" s="1"/>
  <c r="N22" i="3" s="1"/>
  <c r="G21" i="3"/>
  <c r="I21" i="3" s="1"/>
  <c r="L21" i="3" s="1"/>
  <c r="N21" i="3" s="1"/>
  <c r="G20" i="3"/>
  <c r="I20" i="3" s="1"/>
  <c r="L20" i="3" s="1"/>
  <c r="N20" i="3" s="1"/>
  <c r="G19" i="3"/>
  <c r="I19" i="3" s="1"/>
  <c r="L19" i="3" s="1"/>
  <c r="N19" i="3" s="1"/>
  <c r="G18" i="3"/>
  <c r="I18" i="3" s="1"/>
  <c r="L18" i="3" s="1"/>
  <c r="N18" i="3" s="1"/>
  <c r="G17" i="3"/>
  <c r="I17" i="3" s="1"/>
  <c r="G16" i="3"/>
  <c r="I16" i="3" s="1"/>
  <c r="L16" i="3" s="1"/>
  <c r="N16" i="3" s="1"/>
  <c r="G15" i="3"/>
  <c r="I15" i="3" s="1"/>
  <c r="L15" i="3" s="1"/>
  <c r="N15" i="3" s="1"/>
  <c r="G14" i="3"/>
  <c r="I14" i="3" s="1"/>
  <c r="L14" i="3" s="1"/>
  <c r="N14" i="3" s="1"/>
  <c r="G13" i="3"/>
  <c r="I13" i="3" s="1"/>
  <c r="L13" i="3" s="1"/>
  <c r="N13" i="3" s="1"/>
  <c r="G12" i="3"/>
  <c r="I12" i="3" s="1"/>
  <c r="L12" i="3" s="1"/>
  <c r="N12" i="3" s="1"/>
  <c r="G11" i="3"/>
  <c r="I11" i="3" s="1"/>
  <c r="L11" i="3" s="1"/>
  <c r="N11" i="3" s="1"/>
  <c r="G10" i="3"/>
  <c r="I10" i="3" s="1"/>
  <c r="L10" i="3" s="1"/>
  <c r="N10" i="3" s="1"/>
  <c r="G9" i="3"/>
  <c r="I9" i="3" s="1"/>
  <c r="G8" i="3"/>
  <c r="I8" i="3" s="1"/>
  <c r="G46" i="4"/>
  <c r="I46" i="4" s="1"/>
  <c r="G45" i="4"/>
  <c r="I45" i="4" s="1"/>
  <c r="L45" i="4" s="1"/>
  <c r="N45" i="4" s="1"/>
  <c r="G44" i="4"/>
  <c r="I44" i="4" s="1"/>
  <c r="L44" i="4" s="1"/>
  <c r="N44" i="4" s="1"/>
  <c r="G43" i="4"/>
  <c r="I43" i="4" s="1"/>
  <c r="L43" i="4" s="1"/>
  <c r="N43" i="4" s="1"/>
  <c r="G42" i="4"/>
  <c r="I42" i="4" s="1"/>
  <c r="L42" i="4" s="1"/>
  <c r="N42" i="4" s="1"/>
  <c r="G41" i="4"/>
  <c r="I41" i="4" s="1"/>
  <c r="G40" i="4"/>
  <c r="I40" i="4" s="1"/>
  <c r="L40" i="4" s="1"/>
  <c r="N40" i="4" s="1"/>
  <c r="G39" i="4"/>
  <c r="I39" i="4" s="1"/>
  <c r="L39" i="4" s="1"/>
  <c r="N39" i="4" s="1"/>
  <c r="G38" i="4"/>
  <c r="G37" i="4"/>
  <c r="I37" i="4" s="1"/>
  <c r="L37" i="4" s="1"/>
  <c r="N37" i="4" s="1"/>
  <c r="G36" i="4"/>
  <c r="I36" i="4" s="1"/>
  <c r="L36" i="4" s="1"/>
  <c r="N36" i="4" s="1"/>
  <c r="G35" i="4"/>
  <c r="I35" i="4" s="1"/>
  <c r="L35" i="4" s="1"/>
  <c r="N35" i="4" s="1"/>
  <c r="G34" i="4"/>
  <c r="I34" i="4" s="1"/>
  <c r="L34" i="4" s="1"/>
  <c r="N34" i="4" s="1"/>
  <c r="G33" i="4"/>
  <c r="I33" i="4" s="1"/>
  <c r="G32" i="4"/>
  <c r="I32" i="4" s="1"/>
  <c r="L32" i="4" s="1"/>
  <c r="N32" i="4" s="1"/>
  <c r="G31" i="4"/>
  <c r="I31" i="4" s="1"/>
  <c r="L31" i="4" s="1"/>
  <c r="N31" i="4" s="1"/>
  <c r="G30" i="4"/>
  <c r="I30" i="4" s="1"/>
  <c r="G29" i="4"/>
  <c r="I29" i="4" s="1"/>
  <c r="L29" i="4" s="1"/>
  <c r="N29" i="4" s="1"/>
  <c r="G28" i="4"/>
  <c r="I28" i="4" s="1"/>
  <c r="L28" i="4" s="1"/>
  <c r="N28" i="4" s="1"/>
  <c r="G27" i="4"/>
  <c r="I27" i="4" s="1"/>
  <c r="L27" i="4" s="1"/>
  <c r="N27" i="4" s="1"/>
  <c r="G26" i="4"/>
  <c r="I26" i="4" s="1"/>
  <c r="L26" i="4" s="1"/>
  <c r="N26" i="4" s="1"/>
  <c r="G25" i="4"/>
  <c r="I25" i="4" s="1"/>
  <c r="G24" i="4"/>
  <c r="I24" i="4" s="1"/>
  <c r="L24" i="4" s="1"/>
  <c r="N24" i="4" s="1"/>
  <c r="G23" i="4"/>
  <c r="I23" i="4" s="1"/>
  <c r="L23" i="4" s="1"/>
  <c r="N23" i="4" s="1"/>
  <c r="G22" i="4"/>
  <c r="G21" i="4"/>
  <c r="I21" i="4" s="1"/>
  <c r="L21" i="4" s="1"/>
  <c r="N21" i="4" s="1"/>
  <c r="G20" i="4"/>
  <c r="I20" i="4" s="1"/>
  <c r="L20" i="4" s="1"/>
  <c r="N20" i="4" s="1"/>
  <c r="G19" i="4"/>
  <c r="I19" i="4" s="1"/>
  <c r="L19" i="4" s="1"/>
  <c r="N19" i="4" s="1"/>
  <c r="G18" i="4"/>
  <c r="I18" i="4" s="1"/>
  <c r="L18" i="4" s="1"/>
  <c r="N18" i="4" s="1"/>
  <c r="G17" i="4"/>
  <c r="I17" i="4" s="1"/>
  <c r="G16" i="4"/>
  <c r="I16" i="4" s="1"/>
  <c r="L16" i="4" s="1"/>
  <c r="N16" i="4" s="1"/>
  <c r="G15" i="4"/>
  <c r="I15" i="4" s="1"/>
  <c r="L15" i="4" s="1"/>
  <c r="N15" i="4" s="1"/>
  <c r="G14" i="4"/>
  <c r="I14" i="4" s="1"/>
  <c r="G13" i="4"/>
  <c r="I13" i="4" s="1"/>
  <c r="L13" i="4" s="1"/>
  <c r="N13" i="4" s="1"/>
  <c r="G12" i="4"/>
  <c r="I12" i="4" s="1"/>
  <c r="L12" i="4" s="1"/>
  <c r="N12" i="4" s="1"/>
  <c r="G11" i="4"/>
  <c r="I11" i="4" s="1"/>
  <c r="L11" i="4" s="1"/>
  <c r="N11" i="4" s="1"/>
  <c r="G10" i="4"/>
  <c r="I10" i="4" s="1"/>
  <c r="L10" i="4" s="1"/>
  <c r="N10" i="4" s="1"/>
  <c r="G9" i="4"/>
  <c r="I9" i="4" s="1"/>
  <c r="G8" i="4"/>
  <c r="I8" i="4" s="1"/>
  <c r="L8" i="4" s="1"/>
  <c r="N8" i="4" s="1"/>
  <c r="H47" i="2"/>
  <c r="J47" i="2" s="1"/>
  <c r="M47" i="2" s="1"/>
  <c r="O47" i="2" s="1"/>
  <c r="H46" i="2"/>
  <c r="J46" i="2" s="1"/>
  <c r="M46" i="2" s="1"/>
  <c r="O46" i="2" s="1"/>
  <c r="H45" i="2"/>
  <c r="J45" i="2" s="1"/>
  <c r="H44" i="2"/>
  <c r="J44" i="2" s="1"/>
  <c r="H43" i="2"/>
  <c r="J43" i="2" s="1"/>
  <c r="H42" i="2"/>
  <c r="J42" i="2" s="1"/>
  <c r="H41" i="2"/>
  <c r="J41" i="2" s="1"/>
  <c r="M41" i="2" s="1"/>
  <c r="O41" i="2" s="1"/>
  <c r="H40" i="2"/>
  <c r="J40" i="2" s="1"/>
  <c r="H39" i="2"/>
  <c r="H38" i="2"/>
  <c r="J38" i="2" s="1"/>
  <c r="M38" i="2" s="1"/>
  <c r="O38" i="2" s="1"/>
  <c r="H37" i="2"/>
  <c r="J37" i="2" s="1"/>
  <c r="M37" i="2" s="1"/>
  <c r="O37" i="2" s="1"/>
  <c r="H36" i="2"/>
  <c r="J36" i="2" s="1"/>
  <c r="H35" i="2"/>
  <c r="J35" i="2" s="1"/>
  <c r="H34" i="2"/>
  <c r="J34" i="2" s="1"/>
  <c r="H33" i="2"/>
  <c r="J33" i="2" s="1"/>
  <c r="H32" i="2"/>
  <c r="H31" i="2"/>
  <c r="J31" i="2" s="1"/>
  <c r="H30" i="2"/>
  <c r="J30" i="2" s="1"/>
  <c r="M30" i="2" s="1"/>
  <c r="O30" i="2" s="1"/>
  <c r="H29" i="2"/>
  <c r="J29" i="2" s="1"/>
  <c r="M29" i="2" s="1"/>
  <c r="O29" i="2" s="1"/>
  <c r="H28" i="2"/>
  <c r="J28" i="2" s="1"/>
  <c r="H27" i="2"/>
  <c r="J27" i="2" s="1"/>
  <c r="M27" i="2" s="1"/>
  <c r="O27" i="2" s="1"/>
  <c r="H26" i="2"/>
  <c r="J26" i="2" s="1"/>
  <c r="H25" i="2"/>
  <c r="H24" i="2"/>
  <c r="H23" i="2"/>
  <c r="H22" i="2"/>
  <c r="J22" i="2" s="1"/>
  <c r="H21" i="2"/>
  <c r="J21" i="2" s="1"/>
  <c r="M21" i="2" s="1"/>
  <c r="O21" i="2" s="1"/>
  <c r="H20" i="2"/>
  <c r="J20" i="2" s="1"/>
  <c r="H19" i="2"/>
  <c r="J19" i="2" s="1"/>
  <c r="H18" i="2"/>
  <c r="J18" i="2" s="1"/>
  <c r="H17" i="2"/>
  <c r="H16" i="2"/>
  <c r="H15" i="2"/>
  <c r="J15" i="2" s="1"/>
  <c r="M15" i="2" s="1"/>
  <c r="O15" i="2" s="1"/>
  <c r="H14" i="2"/>
  <c r="J14" i="2" s="1"/>
  <c r="M14" i="2" s="1"/>
  <c r="O14" i="2" s="1"/>
  <c r="H13" i="2"/>
  <c r="J13" i="2" s="1"/>
  <c r="M13" i="2" s="1"/>
  <c r="O13" i="2" s="1"/>
  <c r="H12" i="2"/>
  <c r="J12" i="2" s="1"/>
  <c r="H11" i="2"/>
  <c r="J11" i="2" s="1"/>
  <c r="H10" i="2"/>
  <c r="J10" i="2" s="1"/>
  <c r="H9" i="2"/>
  <c r="J9" i="2" s="1"/>
  <c r="H47" i="1"/>
  <c r="J47" i="1" s="1"/>
  <c r="M47" i="1" s="1"/>
  <c r="O47" i="1" s="1"/>
  <c r="H46" i="1"/>
  <c r="J46" i="1" s="1"/>
  <c r="M46" i="1" s="1"/>
  <c r="O46" i="1" s="1"/>
  <c r="H45" i="1"/>
  <c r="J45" i="1" s="1"/>
  <c r="M45" i="1" s="1"/>
  <c r="O45" i="1" s="1"/>
  <c r="H44" i="1"/>
  <c r="J44" i="1" s="1"/>
  <c r="M44" i="1" s="1"/>
  <c r="O44" i="1" s="1"/>
  <c r="H43" i="1"/>
  <c r="J43" i="1" s="1"/>
  <c r="M43" i="1" s="1"/>
  <c r="O43" i="1" s="1"/>
  <c r="H42" i="1"/>
  <c r="J42" i="1" s="1"/>
  <c r="M42" i="1" s="1"/>
  <c r="O42" i="1" s="1"/>
  <c r="H41" i="1"/>
  <c r="J41" i="1" s="1"/>
  <c r="H40" i="1"/>
  <c r="J40" i="1" s="1"/>
  <c r="H39" i="1"/>
  <c r="J39" i="1" s="1"/>
  <c r="M39" i="1" s="1"/>
  <c r="O39" i="1" s="1"/>
  <c r="H38" i="1"/>
  <c r="J38" i="1" s="1"/>
  <c r="M38" i="1" s="1"/>
  <c r="O38" i="1" s="1"/>
  <c r="H37" i="1"/>
  <c r="J37" i="1" s="1"/>
  <c r="M37" i="1" s="1"/>
  <c r="O37" i="1" s="1"/>
  <c r="H36" i="1"/>
  <c r="J36" i="1" s="1"/>
  <c r="M36" i="1" s="1"/>
  <c r="O36" i="1" s="1"/>
  <c r="H35" i="1"/>
  <c r="J35" i="1" s="1"/>
  <c r="M35" i="1" s="1"/>
  <c r="O35" i="1" s="1"/>
  <c r="H34" i="1"/>
  <c r="J34" i="1" s="1"/>
  <c r="M34" i="1" s="1"/>
  <c r="O34" i="1" s="1"/>
  <c r="H33" i="1"/>
  <c r="J33" i="1" s="1"/>
  <c r="H32" i="1"/>
  <c r="J32" i="1" s="1"/>
  <c r="H31" i="1"/>
  <c r="J31" i="1" s="1"/>
  <c r="M31" i="1" s="1"/>
  <c r="O31" i="1" s="1"/>
  <c r="H30" i="1"/>
  <c r="J30" i="1" s="1"/>
  <c r="M30" i="1" s="1"/>
  <c r="O30" i="1" s="1"/>
  <c r="H29" i="1"/>
  <c r="J29" i="1" s="1"/>
  <c r="M29" i="1" s="1"/>
  <c r="O29" i="1" s="1"/>
  <c r="H28" i="1"/>
  <c r="J28" i="1" s="1"/>
  <c r="M28" i="1" s="1"/>
  <c r="O28" i="1" s="1"/>
  <c r="H27" i="1"/>
  <c r="J27" i="1" s="1"/>
  <c r="M27" i="1" s="1"/>
  <c r="O27" i="1" s="1"/>
  <c r="H26" i="1"/>
  <c r="J26" i="1" s="1"/>
  <c r="M26" i="1" s="1"/>
  <c r="O26" i="1" s="1"/>
  <c r="H25" i="1"/>
  <c r="J25" i="1" s="1"/>
  <c r="H24" i="1"/>
  <c r="J24" i="1" s="1"/>
  <c r="H23" i="1"/>
  <c r="J23" i="1" s="1"/>
  <c r="M23" i="1" s="1"/>
  <c r="O23" i="1" s="1"/>
  <c r="H22" i="1"/>
  <c r="J22" i="1" s="1"/>
  <c r="M22" i="1" s="1"/>
  <c r="O22" i="1" s="1"/>
  <c r="H21" i="1"/>
  <c r="J21" i="1" s="1"/>
  <c r="M21" i="1" s="1"/>
  <c r="O21" i="1" s="1"/>
  <c r="H20" i="1"/>
  <c r="J20" i="1" s="1"/>
  <c r="M20" i="1" s="1"/>
  <c r="O20" i="1" s="1"/>
  <c r="H19" i="1"/>
  <c r="J19" i="1" s="1"/>
  <c r="M19" i="1" s="1"/>
  <c r="O19" i="1" s="1"/>
  <c r="H18" i="1"/>
  <c r="J18" i="1" s="1"/>
  <c r="M18" i="1" s="1"/>
  <c r="O18" i="1" s="1"/>
  <c r="H17" i="1"/>
  <c r="J17" i="1" s="1"/>
  <c r="H16" i="1"/>
  <c r="J16" i="1" s="1"/>
  <c r="H15" i="1"/>
  <c r="J15" i="1" s="1"/>
  <c r="M15" i="1" s="1"/>
  <c r="O15" i="1" s="1"/>
  <c r="H14" i="1"/>
  <c r="J14" i="1" s="1"/>
  <c r="M14" i="1" s="1"/>
  <c r="O14" i="1" s="1"/>
  <c r="H13" i="1"/>
  <c r="J13" i="1" s="1"/>
  <c r="M13" i="1" s="1"/>
  <c r="O13" i="1" s="1"/>
  <c r="H12" i="1"/>
  <c r="J12" i="1" s="1"/>
  <c r="M12" i="1" s="1"/>
  <c r="O12" i="1" s="1"/>
  <c r="H11" i="1"/>
  <c r="J11" i="1" s="1"/>
  <c r="M11" i="1" s="1"/>
  <c r="O11" i="1" s="1"/>
  <c r="H10" i="1"/>
  <c r="J10" i="1" s="1"/>
  <c r="M10" i="1" s="1"/>
  <c r="O10" i="1" s="1"/>
  <c r="H9" i="1"/>
  <c r="J9" i="1" s="1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I22" i="4" l="1"/>
  <c r="L22" i="4" s="1"/>
  <c r="N22" i="4" s="1"/>
  <c r="I38" i="4"/>
  <c r="L38" i="4" s="1"/>
  <c r="N38" i="4" s="1"/>
  <c r="L14" i="4"/>
  <c r="N14" i="4" s="1"/>
  <c r="L30" i="4"/>
  <c r="N30" i="4" s="1"/>
  <c r="L46" i="4"/>
  <c r="N46" i="4" s="1"/>
  <c r="L8" i="3"/>
  <c r="N8" i="3" s="1"/>
  <c r="P38" i="2"/>
  <c r="Q38" i="2" s="1"/>
  <c r="P46" i="2"/>
  <c r="Q46" i="2" s="1"/>
  <c r="P47" i="2"/>
  <c r="Q47" i="2" s="1"/>
  <c r="P41" i="2"/>
  <c r="Q41" i="2" s="1"/>
  <c r="P14" i="2"/>
  <c r="Q14" i="2" s="1"/>
  <c r="P15" i="2"/>
  <c r="Q15" i="2" s="1"/>
  <c r="P27" i="2"/>
  <c r="Q27" i="2" s="1"/>
  <c r="P37" i="2"/>
  <c r="Q37" i="2" s="1"/>
  <c r="P30" i="2"/>
  <c r="Q30" i="2" s="1"/>
  <c r="P29" i="2"/>
  <c r="Q29" i="2" s="1"/>
  <c r="P13" i="2"/>
  <c r="Q13" i="2" s="1"/>
  <c r="P21" i="2"/>
  <c r="Q21" i="2" s="1"/>
  <c r="M17" i="1"/>
  <c r="O17" i="1" s="1"/>
  <c r="M25" i="1"/>
  <c r="O25" i="1" s="1"/>
  <c r="M33" i="1"/>
  <c r="O33" i="1" s="1"/>
  <c r="M41" i="1"/>
  <c r="O41" i="1" s="1"/>
  <c r="M9" i="1"/>
  <c r="O9" i="1" s="1"/>
  <c r="M11" i="2"/>
  <c r="O11" i="2" s="1"/>
  <c r="M19" i="2"/>
  <c r="O19" i="2" s="1"/>
  <c r="M35" i="2"/>
  <c r="O35" i="2" s="1"/>
  <c r="M43" i="2"/>
  <c r="O43" i="2" s="1"/>
  <c r="J23" i="2"/>
  <c r="M23" i="2" s="1"/>
  <c r="O23" i="2" s="1"/>
  <c r="J39" i="2"/>
  <c r="M39" i="2" s="1"/>
  <c r="O39" i="2" s="1"/>
  <c r="J16" i="2"/>
  <c r="M16" i="2" s="1"/>
  <c r="O16" i="2" s="1"/>
  <c r="J24" i="2"/>
  <c r="M24" i="2" s="1"/>
  <c r="O24" i="2" s="1"/>
  <c r="J32" i="2"/>
  <c r="M32" i="2" s="1"/>
  <c r="O32" i="2" s="1"/>
  <c r="J17" i="2"/>
  <c r="M17" i="2" s="1"/>
  <c r="O17" i="2" s="1"/>
  <c r="J25" i="2"/>
  <c r="M25" i="2" s="1"/>
  <c r="O25" i="2" s="1"/>
  <c r="M31" i="2"/>
  <c r="O31" i="2" s="1"/>
  <c r="M40" i="2"/>
  <c r="O40" i="2" s="1"/>
  <c r="M33" i="2"/>
  <c r="O33" i="2" s="1"/>
  <c r="M16" i="1"/>
  <c r="O16" i="1" s="1"/>
  <c r="M24" i="1"/>
  <c r="O24" i="1" s="1"/>
  <c r="M32" i="1"/>
  <c r="O32" i="1" s="1"/>
  <c r="M40" i="1"/>
  <c r="O40" i="1" s="1"/>
  <c r="L9" i="4"/>
  <c r="N9" i="4" s="1"/>
  <c r="L17" i="4"/>
  <c r="N17" i="4" s="1"/>
  <c r="L25" i="4"/>
  <c r="N25" i="4" s="1"/>
  <c r="L33" i="4"/>
  <c r="N33" i="4" s="1"/>
  <c r="L41" i="4"/>
  <c r="N41" i="4" s="1"/>
  <c r="L9" i="3"/>
  <c r="N9" i="3" s="1"/>
  <c r="L17" i="3"/>
  <c r="N17" i="3" s="1"/>
  <c r="L25" i="3"/>
  <c r="N25" i="3" s="1"/>
  <c r="L33" i="3"/>
  <c r="N33" i="3" s="1"/>
  <c r="L41" i="3"/>
  <c r="N41" i="3" s="1"/>
  <c r="M12" i="2"/>
  <c r="O12" i="2" s="1"/>
  <c r="M20" i="2"/>
  <c r="O20" i="2" s="1"/>
  <c r="M28" i="2"/>
  <c r="O28" i="2" s="1"/>
  <c r="M36" i="2"/>
  <c r="O36" i="2" s="1"/>
  <c r="M44" i="2"/>
  <c r="O44" i="2" s="1"/>
  <c r="M45" i="2"/>
  <c r="O45" i="2" s="1"/>
  <c r="M22" i="2"/>
  <c r="O22" i="2" s="1"/>
  <c r="M10" i="2"/>
  <c r="O10" i="2" s="1"/>
  <c r="M18" i="2"/>
  <c r="O18" i="2" s="1"/>
  <c r="M26" i="2"/>
  <c r="O26" i="2" s="1"/>
  <c r="M34" i="2"/>
  <c r="O34" i="2" s="1"/>
  <c r="M42" i="2"/>
  <c r="O42" i="2" s="1"/>
  <c r="M9" i="2"/>
  <c r="O9" i="2" s="1"/>
  <c r="P54" i="1" l="1"/>
  <c r="Q54" i="1" s="1"/>
  <c r="Y54" i="1" s="1"/>
  <c r="AD54" i="1" s="1"/>
  <c r="P55" i="1"/>
  <c r="Q55" i="1" s="1"/>
  <c r="Z54" i="1"/>
  <c r="AE54" i="1" s="1"/>
  <c r="P51" i="1"/>
  <c r="Q51" i="1" s="1"/>
  <c r="AF51" i="1" s="1"/>
  <c r="P53" i="1"/>
  <c r="Q53" i="1" s="1"/>
  <c r="P52" i="1"/>
  <c r="Q52" i="1" s="1"/>
  <c r="P31" i="2"/>
  <c r="Q31" i="2" s="1"/>
  <c r="P35" i="2"/>
  <c r="Q35" i="2" s="1"/>
  <c r="P25" i="2"/>
  <c r="Q25" i="2" s="1"/>
  <c r="AF27" i="2"/>
  <c r="Z27" i="2"/>
  <c r="AE27" i="2" s="1"/>
  <c r="Y27" i="2"/>
  <c r="AD27" i="2" s="1"/>
  <c r="AF47" i="2"/>
  <c r="Y47" i="2"/>
  <c r="AD47" i="2" s="1"/>
  <c r="Z47" i="2"/>
  <c r="AE47" i="2" s="1"/>
  <c r="P9" i="2"/>
  <c r="Q9" i="2" s="1"/>
  <c r="P44" i="2"/>
  <c r="Q44" i="2" s="1"/>
  <c r="P32" i="2"/>
  <c r="Q32" i="2" s="1"/>
  <c r="Z41" i="2"/>
  <c r="AE41" i="2" s="1"/>
  <c r="AF41" i="2"/>
  <c r="Y41" i="2"/>
  <c r="AD41" i="2" s="1"/>
  <c r="P43" i="2"/>
  <c r="Q43" i="2" s="1"/>
  <c r="P17" i="2"/>
  <c r="Q17" i="2" s="1"/>
  <c r="P36" i="2"/>
  <c r="Q36" i="2" s="1"/>
  <c r="P34" i="2"/>
  <c r="Q34" i="2" s="1"/>
  <c r="P16" i="2"/>
  <c r="Q16" i="2" s="1"/>
  <c r="P20" i="2"/>
  <c r="Q20" i="2" s="1"/>
  <c r="AF14" i="2"/>
  <c r="Y14" i="2"/>
  <c r="AD14" i="2" s="1"/>
  <c r="Z14" i="2"/>
  <c r="AE14" i="2" s="1"/>
  <c r="AF38" i="2"/>
  <c r="Y38" i="2"/>
  <c r="AD38" i="2" s="1"/>
  <c r="Z38" i="2"/>
  <c r="AE38" i="2" s="1"/>
  <c r="P22" i="2"/>
  <c r="Q22" i="2" s="1"/>
  <c r="P45" i="2"/>
  <c r="Q45" i="2" s="1"/>
  <c r="P42" i="2"/>
  <c r="Q42" i="2" s="1"/>
  <c r="P24" i="2"/>
  <c r="Q24" i="2" s="1"/>
  <c r="AF15" i="2"/>
  <c r="Y15" i="2"/>
  <c r="AD15" i="2" s="1"/>
  <c r="Z15" i="2"/>
  <c r="AE15" i="2" s="1"/>
  <c r="AF46" i="2"/>
  <c r="Y46" i="2"/>
  <c r="AD46" i="2" s="1"/>
  <c r="Z46" i="2"/>
  <c r="AE46" i="2" s="1"/>
  <c r="AF37" i="2"/>
  <c r="Z37" i="2"/>
  <c r="AE37" i="2" s="1"/>
  <c r="Y37" i="2"/>
  <c r="AD37" i="2" s="1"/>
  <c r="P26" i="2"/>
  <c r="Q26" i="2" s="1"/>
  <c r="P18" i="2"/>
  <c r="Q18" i="2" s="1"/>
  <c r="P40" i="2"/>
  <c r="Q40" i="2" s="1"/>
  <c r="P23" i="2"/>
  <c r="Q23" i="2" s="1"/>
  <c r="P47" i="1"/>
  <c r="Q47" i="1" s="1"/>
  <c r="P39" i="1"/>
  <c r="Q39" i="1" s="1"/>
  <c r="P31" i="1"/>
  <c r="Q31" i="1" s="1"/>
  <c r="P23" i="1"/>
  <c r="Q23" i="1" s="1"/>
  <c r="P15" i="1"/>
  <c r="Q15" i="1" s="1"/>
  <c r="P46" i="1"/>
  <c r="Q46" i="1" s="1"/>
  <c r="P38" i="1"/>
  <c r="Q38" i="1" s="1"/>
  <c r="P30" i="1"/>
  <c r="Q30" i="1" s="1"/>
  <c r="P22" i="1"/>
  <c r="Q22" i="1" s="1"/>
  <c r="P14" i="1"/>
  <c r="Q14" i="1" s="1"/>
  <c r="P45" i="1"/>
  <c r="Q45" i="1" s="1"/>
  <c r="P37" i="1"/>
  <c r="Q37" i="1" s="1"/>
  <c r="P29" i="1"/>
  <c r="Q29" i="1" s="1"/>
  <c r="P21" i="1"/>
  <c r="Q21" i="1" s="1"/>
  <c r="P13" i="1"/>
  <c r="Q13" i="1" s="1"/>
  <c r="P44" i="1"/>
  <c r="Q44" i="1" s="1"/>
  <c r="P36" i="1"/>
  <c r="Q36" i="1" s="1"/>
  <c r="P28" i="1"/>
  <c r="Q28" i="1" s="1"/>
  <c r="P20" i="1"/>
  <c r="Q20" i="1" s="1"/>
  <c r="P12" i="1"/>
  <c r="Q12" i="1" s="1"/>
  <c r="P43" i="1"/>
  <c r="Q43" i="1" s="1"/>
  <c r="P35" i="1"/>
  <c r="Q35" i="1" s="1"/>
  <c r="P27" i="1"/>
  <c r="Q27" i="1" s="1"/>
  <c r="P19" i="1"/>
  <c r="Q19" i="1" s="1"/>
  <c r="P11" i="1"/>
  <c r="Q11" i="1" s="1"/>
  <c r="P50" i="1"/>
  <c r="Q50" i="1" s="1"/>
  <c r="P42" i="1"/>
  <c r="Q42" i="1" s="1"/>
  <c r="P34" i="1"/>
  <c r="Q34" i="1" s="1"/>
  <c r="P26" i="1"/>
  <c r="Q26" i="1" s="1"/>
  <c r="P18" i="1"/>
  <c r="Q18" i="1" s="1"/>
  <c r="P10" i="1"/>
  <c r="Q10" i="1" s="1"/>
  <c r="P49" i="1"/>
  <c r="Q49" i="1" s="1"/>
  <c r="P41" i="1"/>
  <c r="Q41" i="1" s="1"/>
  <c r="P33" i="1"/>
  <c r="Q33" i="1" s="1"/>
  <c r="P25" i="1"/>
  <c r="Q25" i="1" s="1"/>
  <c r="P17" i="1"/>
  <c r="Q17" i="1" s="1"/>
  <c r="P9" i="1"/>
  <c r="Q9" i="1" s="1"/>
  <c r="P48" i="1"/>
  <c r="Q48" i="1" s="1"/>
  <c r="P40" i="1"/>
  <c r="Q40" i="1" s="1"/>
  <c r="P32" i="1"/>
  <c r="Q32" i="1" s="1"/>
  <c r="P24" i="1"/>
  <c r="Q24" i="1" s="1"/>
  <c r="P16" i="1"/>
  <c r="Q16" i="1" s="1"/>
  <c r="AF21" i="2"/>
  <c r="Z21" i="2"/>
  <c r="AE21" i="2" s="1"/>
  <c r="Y21" i="2"/>
  <c r="AD21" i="2" s="1"/>
  <c r="AF29" i="2"/>
  <c r="Y29" i="2"/>
  <c r="AD29" i="2" s="1"/>
  <c r="Z29" i="2"/>
  <c r="AE29" i="2" s="1"/>
  <c r="AF30" i="2"/>
  <c r="Z30" i="2"/>
  <c r="AE30" i="2" s="1"/>
  <c r="Y30" i="2"/>
  <c r="AD30" i="2" s="1"/>
  <c r="P11" i="2"/>
  <c r="Q11" i="2" s="1"/>
  <c r="P19" i="2"/>
  <c r="Q19" i="2" s="1"/>
  <c r="P39" i="2"/>
  <c r="Q39" i="2" s="1"/>
  <c r="P12" i="2"/>
  <c r="Q12" i="2" s="1"/>
  <c r="P28" i="2"/>
  <c r="Q28" i="2" s="1"/>
  <c r="P33" i="2"/>
  <c r="Q33" i="2" s="1"/>
  <c r="AF13" i="2"/>
  <c r="Z13" i="2"/>
  <c r="AE13" i="2" s="1"/>
  <c r="Y13" i="2"/>
  <c r="AD13" i="2" s="1"/>
  <c r="P10" i="2"/>
  <c r="Q10" i="2" s="1"/>
  <c r="AF54" i="1" l="1"/>
  <c r="Y55" i="1"/>
  <c r="AD55" i="1" s="1"/>
  <c r="Z55" i="1"/>
  <c r="AE55" i="1" s="1"/>
  <c r="AF55" i="1"/>
  <c r="Y51" i="1"/>
  <c r="AD51" i="1" s="1"/>
  <c r="AI51" i="1" s="1"/>
  <c r="AK51" i="1" s="1"/>
  <c r="AL51" i="1" s="1"/>
  <c r="Z51" i="1"/>
  <c r="AE51" i="1" s="1"/>
  <c r="Y52" i="1"/>
  <c r="AD52" i="1" s="1"/>
  <c r="AF52" i="1"/>
  <c r="Z52" i="1"/>
  <c r="AE52" i="1" s="1"/>
  <c r="Z53" i="1"/>
  <c r="AE53" i="1" s="1"/>
  <c r="Y53" i="1"/>
  <c r="AD53" i="1" s="1"/>
  <c r="AF53" i="1"/>
  <c r="AI13" i="2"/>
  <c r="AK13" i="2" s="1"/>
  <c r="AL13" i="2" s="1"/>
  <c r="AI37" i="2"/>
  <c r="AK37" i="2" s="1"/>
  <c r="AL37" i="2" s="1"/>
  <c r="AI27" i="2"/>
  <c r="AK27" i="2" s="1"/>
  <c r="AL27" i="2" s="1"/>
  <c r="AF44" i="2"/>
  <c r="Z44" i="2"/>
  <c r="AE44" i="2" s="1"/>
  <c r="Y44" i="2"/>
  <c r="AD44" i="2" s="1"/>
  <c r="AF9" i="2"/>
  <c r="Y9" i="2"/>
  <c r="AD9" i="2" s="1"/>
  <c r="Z9" i="2"/>
  <c r="AE9" i="2" s="1"/>
  <c r="AF43" i="2"/>
  <c r="Z43" i="2"/>
  <c r="AE43" i="2" s="1"/>
  <c r="Y43" i="2"/>
  <c r="AD43" i="2" s="1"/>
  <c r="AF34" i="2"/>
  <c r="Z34" i="2"/>
  <c r="AE34" i="2" s="1"/>
  <c r="Y34" i="2"/>
  <c r="AD34" i="2" s="1"/>
  <c r="AF45" i="2"/>
  <c r="Y45" i="2"/>
  <c r="AD45" i="2" s="1"/>
  <c r="Z45" i="2"/>
  <c r="AE45" i="2" s="1"/>
  <c r="Z40" i="2"/>
  <c r="AE40" i="2" s="1"/>
  <c r="AF40" i="2"/>
  <c r="Y40" i="2"/>
  <c r="AD40" i="2" s="1"/>
  <c r="Z26" i="2"/>
  <c r="AE26" i="2" s="1"/>
  <c r="AF26" i="2"/>
  <c r="Y26" i="2"/>
  <c r="AD26" i="2" s="1"/>
  <c r="AF42" i="2"/>
  <c r="Y42" i="2"/>
  <c r="AD42" i="2" s="1"/>
  <c r="Z42" i="2"/>
  <c r="AE42" i="2" s="1"/>
  <c r="AF18" i="2"/>
  <c r="Z18" i="2"/>
  <c r="AE18" i="2" s="1"/>
  <c r="Y18" i="2"/>
  <c r="AD18" i="2" s="1"/>
  <c r="AF16" i="2"/>
  <c r="Z16" i="2"/>
  <c r="AE16" i="2" s="1"/>
  <c r="Y16" i="2"/>
  <c r="AD16" i="2" s="1"/>
  <c r="AF31" i="2"/>
  <c r="Z31" i="2"/>
  <c r="AE31" i="2" s="1"/>
  <c r="Y31" i="2"/>
  <c r="AD31" i="2" s="1"/>
  <c r="AF36" i="2"/>
  <c r="Z36" i="2"/>
  <c r="AE36" i="2" s="1"/>
  <c r="Y36" i="2"/>
  <c r="AD36" i="2" s="1"/>
  <c r="AF24" i="2"/>
  <c r="Y24" i="2"/>
  <c r="AD24" i="2" s="1"/>
  <c r="Z24" i="2"/>
  <c r="AE24" i="2" s="1"/>
  <c r="AF20" i="2"/>
  <c r="Z20" i="2"/>
  <c r="AE20" i="2" s="1"/>
  <c r="Y20" i="2"/>
  <c r="AD20" i="2" s="1"/>
  <c r="AF32" i="2"/>
  <c r="Z32" i="2"/>
  <c r="AE32" i="2" s="1"/>
  <c r="Y32" i="2"/>
  <c r="AD32" i="2" s="1"/>
  <c r="AF35" i="2"/>
  <c r="Y35" i="2"/>
  <c r="AD35" i="2" s="1"/>
  <c r="Z35" i="2"/>
  <c r="AE35" i="2" s="1"/>
  <c r="AI14" i="2"/>
  <c r="AK14" i="2" s="1"/>
  <c r="AL14" i="2" s="1"/>
  <c r="AI41" i="2"/>
  <c r="AK41" i="2" s="1"/>
  <c r="AL41" i="2" s="1"/>
  <c r="AF23" i="2"/>
  <c r="Y23" i="2"/>
  <c r="AD23" i="2" s="1"/>
  <c r="Z23" i="2"/>
  <c r="AE23" i="2" s="1"/>
  <c r="AI15" i="2"/>
  <c r="AK15" i="2" s="1"/>
  <c r="AL15" i="2" s="1"/>
  <c r="AF22" i="2"/>
  <c r="Z22" i="2"/>
  <c r="AE22" i="2" s="1"/>
  <c r="Y22" i="2"/>
  <c r="AD22" i="2" s="1"/>
  <c r="AI47" i="2"/>
  <c r="AK47" i="2" s="1"/>
  <c r="AL47" i="2" s="1"/>
  <c r="AF25" i="2"/>
  <c r="Z25" i="2"/>
  <c r="AE25" i="2" s="1"/>
  <c r="Y25" i="2"/>
  <c r="AD25" i="2" s="1"/>
  <c r="AI38" i="2"/>
  <c r="AK38" i="2" s="1"/>
  <c r="AL38" i="2" s="1"/>
  <c r="Z17" i="2"/>
  <c r="AE17" i="2" s="1"/>
  <c r="AF17" i="2"/>
  <c r="Y17" i="2"/>
  <c r="AD17" i="2" s="1"/>
  <c r="AI46" i="2"/>
  <c r="AK46" i="2" s="1"/>
  <c r="AL46" i="2" s="1"/>
  <c r="AF44" i="1"/>
  <c r="Y44" i="1"/>
  <c r="AD44" i="1" s="1"/>
  <c r="Z44" i="1"/>
  <c r="AE44" i="1" s="1"/>
  <c r="AF10" i="1"/>
  <c r="Z10" i="1"/>
  <c r="AE10" i="1" s="1"/>
  <c r="Y10" i="1"/>
  <c r="AD10" i="1" s="1"/>
  <c r="AF48" i="1"/>
  <c r="Y48" i="1"/>
  <c r="AD48" i="1" s="1"/>
  <c r="Z48" i="1"/>
  <c r="AE48" i="1" s="1"/>
  <c r="AF18" i="1"/>
  <c r="Y18" i="1"/>
  <c r="AD18" i="1" s="1"/>
  <c r="Z18" i="1"/>
  <c r="AE18" i="1" s="1"/>
  <c r="AF35" i="1"/>
  <c r="Z35" i="1"/>
  <c r="AE35" i="1" s="1"/>
  <c r="Y35" i="1"/>
  <c r="AD35" i="1" s="1"/>
  <c r="AF21" i="1"/>
  <c r="Y21" i="1"/>
  <c r="AD21" i="1" s="1"/>
  <c r="Z21" i="1"/>
  <c r="AE21" i="1" s="1"/>
  <c r="AF46" i="1"/>
  <c r="Z46" i="1"/>
  <c r="AE46" i="1" s="1"/>
  <c r="Y46" i="1"/>
  <c r="AD46" i="1" s="1"/>
  <c r="Z32" i="1"/>
  <c r="AE32" i="1" s="1"/>
  <c r="Y32" i="1"/>
  <c r="AD32" i="1" s="1"/>
  <c r="AF32" i="1"/>
  <c r="AF40" i="1"/>
  <c r="Y40" i="1"/>
  <c r="AD40" i="1" s="1"/>
  <c r="Z40" i="1"/>
  <c r="AE40" i="1" s="1"/>
  <c r="AF27" i="1"/>
  <c r="Z27" i="1"/>
  <c r="AE27" i="1" s="1"/>
  <c r="Y27" i="1"/>
  <c r="AD27" i="1" s="1"/>
  <c r="AF43" i="1"/>
  <c r="Z43" i="1"/>
  <c r="AE43" i="1" s="1"/>
  <c r="Y43" i="1"/>
  <c r="AD43" i="1" s="1"/>
  <c r="AF29" i="1"/>
  <c r="Y29" i="1"/>
  <c r="AD29" i="1" s="1"/>
  <c r="Z29" i="1"/>
  <c r="AE29" i="1" s="1"/>
  <c r="AF15" i="1"/>
  <c r="Y15" i="1"/>
  <c r="AD15" i="1" s="1"/>
  <c r="Z15" i="1"/>
  <c r="AE15" i="1" s="1"/>
  <c r="AF30" i="1"/>
  <c r="Y30" i="1"/>
  <c r="AD30" i="1" s="1"/>
  <c r="Z30" i="1"/>
  <c r="AE30" i="1" s="1"/>
  <c r="Y13" i="1"/>
  <c r="AD13" i="1" s="1"/>
  <c r="AF13" i="1"/>
  <c r="Z13" i="1"/>
  <c r="AE13" i="1" s="1"/>
  <c r="AF34" i="1"/>
  <c r="Z34" i="1"/>
  <c r="AE34" i="1" s="1"/>
  <c r="Y34" i="1"/>
  <c r="AD34" i="1" s="1"/>
  <c r="AF37" i="1"/>
  <c r="Y37" i="1"/>
  <c r="AD37" i="1" s="1"/>
  <c r="Z37" i="1"/>
  <c r="AE37" i="1" s="1"/>
  <c r="AF23" i="1"/>
  <c r="Y23" i="1"/>
  <c r="AD23" i="1" s="1"/>
  <c r="Z23" i="1"/>
  <c r="AE23" i="1" s="1"/>
  <c r="AF19" i="1"/>
  <c r="Y19" i="1"/>
  <c r="AD19" i="1" s="1"/>
  <c r="Z19" i="1"/>
  <c r="AE19" i="1" s="1"/>
  <c r="AF38" i="1"/>
  <c r="Y38" i="1"/>
  <c r="AD38" i="1" s="1"/>
  <c r="Z38" i="1"/>
  <c r="AE38" i="1" s="1"/>
  <c r="AF26" i="1"/>
  <c r="Z26" i="1"/>
  <c r="AE26" i="1" s="1"/>
  <c r="Y26" i="1"/>
  <c r="AD26" i="1" s="1"/>
  <c r="AF17" i="1"/>
  <c r="Z17" i="1"/>
  <c r="AE17" i="1" s="1"/>
  <c r="Y17" i="1"/>
  <c r="AD17" i="1" s="1"/>
  <c r="AF12" i="1"/>
  <c r="Z12" i="1"/>
  <c r="AE12" i="1" s="1"/>
  <c r="Y12" i="1"/>
  <c r="AD12" i="1" s="1"/>
  <c r="AF25" i="1"/>
  <c r="Y25" i="1"/>
  <c r="AD25" i="1" s="1"/>
  <c r="Z25" i="1"/>
  <c r="AE25" i="1" s="1"/>
  <c r="AF42" i="1"/>
  <c r="Z42" i="1"/>
  <c r="AE42" i="1" s="1"/>
  <c r="Y42" i="1"/>
  <c r="AD42" i="1" s="1"/>
  <c r="AF20" i="1"/>
  <c r="Z20" i="1"/>
  <c r="AE20" i="1" s="1"/>
  <c r="Y20" i="1"/>
  <c r="AD20" i="1" s="1"/>
  <c r="AF45" i="1"/>
  <c r="Z45" i="1"/>
  <c r="AE45" i="1" s="1"/>
  <c r="Y45" i="1"/>
  <c r="AD45" i="1" s="1"/>
  <c r="AF31" i="1"/>
  <c r="Y31" i="1"/>
  <c r="AD31" i="1" s="1"/>
  <c r="Z31" i="1"/>
  <c r="AE31" i="1" s="1"/>
  <c r="AF39" i="1"/>
  <c r="Y39" i="1"/>
  <c r="AD39" i="1" s="1"/>
  <c r="Z39" i="1"/>
  <c r="AE39" i="1" s="1"/>
  <c r="AF49" i="1"/>
  <c r="Y49" i="1"/>
  <c r="AD49" i="1" s="1"/>
  <c r="Z49" i="1"/>
  <c r="AE49" i="1" s="1"/>
  <c r="Y9" i="1"/>
  <c r="AD9" i="1" s="1"/>
  <c r="AF9" i="1"/>
  <c r="Z9" i="1"/>
  <c r="AE9" i="1" s="1"/>
  <c r="AF16" i="1"/>
  <c r="Z16" i="1"/>
  <c r="AE16" i="1" s="1"/>
  <c r="Y16" i="1"/>
  <c r="AD16" i="1" s="1"/>
  <c r="Y33" i="1"/>
  <c r="AD33" i="1" s="1"/>
  <c r="AF33" i="1"/>
  <c r="Z33" i="1"/>
  <c r="AE33" i="1" s="1"/>
  <c r="Y50" i="1"/>
  <c r="AD50" i="1" s="1"/>
  <c r="Z50" i="1"/>
  <c r="AE50" i="1" s="1"/>
  <c r="AF50" i="1"/>
  <c r="Y28" i="1"/>
  <c r="AD28" i="1" s="1"/>
  <c r="Z28" i="1"/>
  <c r="AE28" i="1" s="1"/>
  <c r="AF28" i="1"/>
  <c r="AF14" i="1"/>
  <c r="Y14" i="1"/>
  <c r="AD14" i="1" s="1"/>
  <c r="Z14" i="1"/>
  <c r="AE14" i="1" s="1"/>
  <c r="Z24" i="1"/>
  <c r="AE24" i="1" s="1"/>
  <c r="AF24" i="1"/>
  <c r="Y24" i="1"/>
  <c r="AD24" i="1" s="1"/>
  <c r="AF41" i="1"/>
  <c r="Z41" i="1"/>
  <c r="AE41" i="1" s="1"/>
  <c r="Y41" i="1"/>
  <c r="AD41" i="1" s="1"/>
  <c r="AF11" i="1"/>
  <c r="Z11" i="1"/>
  <c r="AE11" i="1" s="1"/>
  <c r="Y11" i="1"/>
  <c r="AD11" i="1" s="1"/>
  <c r="AF36" i="1"/>
  <c r="Z36" i="1"/>
  <c r="AE36" i="1" s="1"/>
  <c r="Y36" i="1"/>
  <c r="AD36" i="1" s="1"/>
  <c r="AF22" i="1"/>
  <c r="Y22" i="1"/>
  <c r="AD22" i="1" s="1"/>
  <c r="Z22" i="1"/>
  <c r="AE22" i="1" s="1"/>
  <c r="AF47" i="1"/>
  <c r="Z47" i="1"/>
  <c r="AE47" i="1" s="1"/>
  <c r="Y47" i="1"/>
  <c r="AD47" i="1" s="1"/>
  <c r="AI30" i="2"/>
  <c r="AK30" i="2" s="1"/>
  <c r="AL30" i="2" s="1"/>
  <c r="AF10" i="2"/>
  <c r="Z10" i="2"/>
  <c r="AE10" i="2" s="1"/>
  <c r="Y10" i="2"/>
  <c r="AD10" i="2" s="1"/>
  <c r="AF33" i="2"/>
  <c r="Y33" i="2"/>
  <c r="AD33" i="2" s="1"/>
  <c r="Z33" i="2"/>
  <c r="AE33" i="2" s="1"/>
  <c r="AF19" i="2"/>
  <c r="Y19" i="2"/>
  <c r="AD19" i="2" s="1"/>
  <c r="Z19" i="2"/>
  <c r="AE19" i="2" s="1"/>
  <c r="AI29" i="2"/>
  <c r="AK29" i="2" s="1"/>
  <c r="AL29" i="2" s="1"/>
  <c r="AF12" i="2"/>
  <c r="Z12" i="2"/>
  <c r="AE12" i="2" s="1"/>
  <c r="Y12" i="2"/>
  <c r="AD12" i="2" s="1"/>
  <c r="AF39" i="2"/>
  <c r="Z39" i="2"/>
  <c r="AE39" i="2" s="1"/>
  <c r="Y39" i="2"/>
  <c r="AD39" i="2" s="1"/>
  <c r="AF28" i="2"/>
  <c r="Y28" i="2"/>
  <c r="AD28" i="2" s="1"/>
  <c r="Z28" i="2"/>
  <c r="AE28" i="2" s="1"/>
  <c r="AF11" i="2"/>
  <c r="Y11" i="2"/>
  <c r="AD11" i="2" s="1"/>
  <c r="Z11" i="2"/>
  <c r="AE11" i="2" s="1"/>
  <c r="AI21" i="2"/>
  <c r="AK21" i="2" s="1"/>
  <c r="AL21" i="2" s="1"/>
  <c r="AI50" i="1" l="1"/>
  <c r="AK50" i="1" s="1"/>
  <c r="AL50" i="1" s="1"/>
  <c r="AI42" i="1"/>
  <c r="AK42" i="1" s="1"/>
  <c r="AL42" i="1" s="1"/>
  <c r="AI45" i="2"/>
  <c r="AK45" i="2" s="1"/>
  <c r="AL45" i="2" s="1"/>
  <c r="AI28" i="1"/>
  <c r="AK28" i="1" s="1"/>
  <c r="AL28" i="1" s="1"/>
  <c r="AI34" i="2"/>
  <c r="AK34" i="2" s="1"/>
  <c r="AL34" i="2" s="1"/>
  <c r="AI9" i="2"/>
  <c r="AK9" i="2" s="1"/>
  <c r="AL9" i="2" s="1"/>
  <c r="AI17" i="2"/>
  <c r="AK17" i="2" s="1"/>
  <c r="AL17" i="2" s="1"/>
  <c r="AI25" i="2"/>
  <c r="AK25" i="2" s="1"/>
  <c r="AL25" i="2" s="1"/>
  <c r="AI31" i="2"/>
  <c r="AK31" i="2" s="1"/>
  <c r="AL31" i="2" s="1"/>
  <c r="AI18" i="2"/>
  <c r="AK18" i="2" s="1"/>
  <c r="AL18" i="2" s="1"/>
  <c r="AI42" i="2"/>
  <c r="AK42" i="2" s="1"/>
  <c r="AL42" i="2" s="1"/>
  <c r="AI52" i="1"/>
  <c r="AK52" i="1" s="1"/>
  <c r="AI34" i="1"/>
  <c r="AK34" i="1" s="1"/>
  <c r="AL34" i="1" s="1"/>
  <c r="AI19" i="1"/>
  <c r="AK19" i="1" s="1"/>
  <c r="AL19" i="1" s="1"/>
  <c r="AI48" i="1"/>
  <c r="AK48" i="1" s="1"/>
  <c r="AL48" i="1" s="1"/>
  <c r="AI35" i="1"/>
  <c r="AK35" i="1" s="1"/>
  <c r="AL35" i="1" s="1"/>
  <c r="AI11" i="1"/>
  <c r="AK11" i="1" s="1"/>
  <c r="AL11" i="1" s="1"/>
  <c r="AI14" i="1"/>
  <c r="AK14" i="1" s="1"/>
  <c r="AL14" i="1" s="1"/>
  <c r="AI33" i="1"/>
  <c r="AK33" i="1" s="1"/>
  <c r="AL33" i="1" s="1"/>
  <c r="AI31" i="1"/>
  <c r="AK31" i="1" s="1"/>
  <c r="AL31" i="1" s="1"/>
  <c r="AI38" i="1"/>
  <c r="AK38" i="1" s="1"/>
  <c r="AL38" i="1" s="1"/>
  <c r="AI29" i="1"/>
  <c r="AK29" i="1" s="1"/>
  <c r="AL29" i="1" s="1"/>
  <c r="AI18" i="1"/>
  <c r="AK18" i="1" s="1"/>
  <c r="AL18" i="1" s="1"/>
  <c r="AI17" i="1"/>
  <c r="AK17" i="1" s="1"/>
  <c r="AL17" i="1" s="1"/>
  <c r="AI30" i="1"/>
  <c r="AK30" i="1" s="1"/>
  <c r="AL30" i="1" s="1"/>
  <c r="AI32" i="1"/>
  <c r="AK32" i="1" s="1"/>
  <c r="AL32" i="1" s="1"/>
  <c r="AI21" i="1"/>
  <c r="AK21" i="1" s="1"/>
  <c r="AL21" i="1" s="1"/>
  <c r="AI40" i="1"/>
  <c r="AK40" i="1" s="1"/>
  <c r="AL40" i="1" s="1"/>
  <c r="AI43" i="1"/>
  <c r="AK43" i="1" s="1"/>
  <c r="AL43" i="1" s="1"/>
  <c r="AI22" i="1"/>
  <c r="AK22" i="1" s="1"/>
  <c r="AL22" i="1" s="1"/>
  <c r="AI36" i="1"/>
  <c r="AK36" i="1" s="1"/>
  <c r="AL36" i="1" s="1"/>
  <c r="AI39" i="1"/>
  <c r="AK39" i="1" s="1"/>
  <c r="AL39" i="1" s="1"/>
  <c r="AI26" i="1"/>
  <c r="AK26" i="1" s="1"/>
  <c r="AL26" i="1" s="1"/>
  <c r="AI15" i="1"/>
  <c r="AK15" i="1" s="1"/>
  <c r="AL15" i="1" s="1"/>
  <c r="AI49" i="1"/>
  <c r="AK49" i="1" s="1"/>
  <c r="AL49" i="1" s="1"/>
  <c r="AI45" i="1"/>
  <c r="AK45" i="1" s="1"/>
  <c r="AL45" i="1" s="1"/>
  <c r="AI24" i="1"/>
  <c r="AK24" i="1" s="1"/>
  <c r="AL24" i="1" s="1"/>
  <c r="AI16" i="1"/>
  <c r="AK16" i="1" s="1"/>
  <c r="AL16" i="1" s="1"/>
  <c r="AI25" i="1"/>
  <c r="AK25" i="1" s="1"/>
  <c r="AL25" i="1" s="1"/>
  <c r="AI47" i="1"/>
  <c r="AK47" i="1" s="1"/>
  <c r="AL47" i="1" s="1"/>
  <c r="AI9" i="1"/>
  <c r="AK9" i="1" s="1"/>
  <c r="AL9" i="1" s="1"/>
  <c r="AI20" i="1"/>
  <c r="AK20" i="1" s="1"/>
  <c r="AL20" i="1" s="1"/>
  <c r="AI23" i="1"/>
  <c r="AK23" i="1" s="1"/>
  <c r="AL23" i="1" s="1"/>
  <c r="AI13" i="1"/>
  <c r="AK13" i="1" s="1"/>
  <c r="AL13" i="1" s="1"/>
  <c r="AI27" i="1"/>
  <c r="AK27" i="1" s="1"/>
  <c r="AL27" i="1" s="1"/>
  <c r="AI10" i="1"/>
  <c r="AK10" i="1" s="1"/>
  <c r="AL10" i="1" s="1"/>
  <c r="AI37" i="1"/>
  <c r="AK37" i="1" s="1"/>
  <c r="AL37" i="1" s="1"/>
  <c r="AI44" i="1"/>
  <c r="AK44" i="1" s="1"/>
  <c r="AL44" i="1" s="1"/>
  <c r="AI41" i="1"/>
  <c r="AK41" i="1" s="1"/>
  <c r="AL41" i="1" s="1"/>
  <c r="AI12" i="1"/>
  <c r="AK12" i="1" s="1"/>
  <c r="AL12" i="1" s="1"/>
  <c r="AI46" i="1"/>
  <c r="AK46" i="1" s="1"/>
  <c r="AL46" i="1" s="1"/>
  <c r="AI32" i="2"/>
  <c r="AK32" i="2" s="1"/>
  <c r="AL32" i="2" s="1"/>
  <c r="AI26" i="2"/>
  <c r="AK26" i="2" s="1"/>
  <c r="AL26" i="2" s="1"/>
  <c r="AI40" i="2"/>
  <c r="AK40" i="2" s="1"/>
  <c r="AL40" i="2" s="1"/>
  <c r="AI20" i="2"/>
  <c r="AK20" i="2" s="1"/>
  <c r="AL20" i="2" s="1"/>
  <c r="AI33" i="2"/>
  <c r="AK33" i="2" s="1"/>
  <c r="AL33" i="2" s="1"/>
  <c r="AI35" i="2"/>
  <c r="AK35" i="2" s="1"/>
  <c r="AL35" i="2" s="1"/>
  <c r="AI16" i="2"/>
  <c r="AK16" i="2" s="1"/>
  <c r="AL16" i="2" s="1"/>
  <c r="AI23" i="2"/>
  <c r="AK23" i="2" s="1"/>
  <c r="AL23" i="2" s="1"/>
  <c r="AI44" i="2"/>
  <c r="AK44" i="2" s="1"/>
  <c r="AL44" i="2" s="1"/>
  <c r="AI22" i="2"/>
  <c r="AK22" i="2" s="1"/>
  <c r="AL22" i="2" s="1"/>
  <c r="AI36" i="2"/>
  <c r="AK36" i="2" s="1"/>
  <c r="AL36" i="2" s="1"/>
  <c r="AI24" i="2"/>
  <c r="AK24" i="2" s="1"/>
  <c r="AL24" i="2" s="1"/>
  <c r="AI43" i="2"/>
  <c r="AK43" i="2" s="1"/>
  <c r="AL43" i="2" s="1"/>
  <c r="AI28" i="2"/>
  <c r="AK28" i="2" s="1"/>
  <c r="AL28" i="2" s="1"/>
  <c r="AI19" i="2"/>
  <c r="AK19" i="2" s="1"/>
  <c r="AL19" i="2" s="1"/>
  <c r="AI11" i="2"/>
  <c r="AK11" i="2" s="1"/>
  <c r="AL11" i="2" s="1"/>
  <c r="AI39" i="2"/>
  <c r="AK39" i="2" s="1"/>
  <c r="AL39" i="2" s="1"/>
  <c r="AI12" i="2"/>
  <c r="AK12" i="2" s="1"/>
  <c r="AL12" i="2" s="1"/>
  <c r="AI10" i="2"/>
  <c r="AK10" i="2" s="1"/>
  <c r="AL10" i="2" s="1"/>
</calcChain>
</file>

<file path=xl/sharedStrings.xml><?xml version="1.0" encoding="utf-8"?>
<sst xmlns="http://schemas.openxmlformats.org/spreadsheetml/2006/main" count="1586" uniqueCount="485">
  <si>
    <t>Euro Oil (Pvt.) Limited</t>
  </si>
  <si>
    <t xml:space="preserve">Price Effective December 01, 2019 </t>
  </si>
  <si>
    <t>PMG, HSD, SKO &amp; LDO</t>
  </si>
  <si>
    <t>Sr. No.</t>
  </si>
  <si>
    <t>Retail Outlet</t>
  </si>
  <si>
    <t>Location</t>
  </si>
  <si>
    <t>Category</t>
  </si>
  <si>
    <t>Ex-Refinery</t>
  </si>
  <si>
    <t>Kareem Block ( Kyani)</t>
  </si>
  <si>
    <t>Lahore</t>
  </si>
  <si>
    <t>CF</t>
  </si>
  <si>
    <t>Shehryar Petroleum</t>
  </si>
  <si>
    <t>Gujrat</t>
  </si>
  <si>
    <t>DO</t>
  </si>
  <si>
    <t>Al Mustafa</t>
  </si>
  <si>
    <t>Mandi Bahauddin</t>
  </si>
  <si>
    <t>DF</t>
  </si>
  <si>
    <t>Toheed</t>
  </si>
  <si>
    <t>Sargodha</t>
  </si>
  <si>
    <t>Yousaf Zai FS</t>
  </si>
  <si>
    <t>Jahanian</t>
  </si>
  <si>
    <t>MF</t>
  </si>
  <si>
    <t xml:space="preserve">Rana Saleem </t>
  </si>
  <si>
    <t>Virk-1 FS</t>
  </si>
  <si>
    <t>Sheikhupura</t>
  </si>
  <si>
    <t>LDF</t>
  </si>
  <si>
    <t>Rana Brother</t>
  </si>
  <si>
    <t>Zafarwal</t>
  </si>
  <si>
    <t>Ali Petroleum</t>
  </si>
  <si>
    <t>Gulzar Petroleum</t>
  </si>
  <si>
    <t>Friends Petroleum</t>
  </si>
  <si>
    <t>Sahiwal</t>
  </si>
  <si>
    <t>Al Shafi FS</t>
  </si>
  <si>
    <t>Al Fareed FS</t>
  </si>
  <si>
    <t>Malik Ashiq Pet</t>
  </si>
  <si>
    <t>Okara</t>
  </si>
  <si>
    <t>Hafiz Petroleum</t>
  </si>
  <si>
    <t>Pakpattan</t>
  </si>
  <si>
    <t>Raja Brothers</t>
  </si>
  <si>
    <t>Jehlum</t>
  </si>
  <si>
    <t>Al Qadir FS</t>
  </si>
  <si>
    <t>Al Wali Petroleum</t>
  </si>
  <si>
    <t>Muhammad Petroleum</t>
  </si>
  <si>
    <t>Bhakkar</t>
  </si>
  <si>
    <t>Rana Saleem FS</t>
  </si>
  <si>
    <t xml:space="preserve">Mian Wali </t>
  </si>
  <si>
    <t xml:space="preserve">Haryana Filling station </t>
  </si>
  <si>
    <r>
      <t>Al Subhan</t>
    </r>
    <r>
      <rPr>
        <sz val="10"/>
        <rFont val="Arial"/>
        <family val="2"/>
      </rPr>
      <t xml:space="preserve"> Filling station</t>
    </r>
  </si>
  <si>
    <t>Muhammad Filling station</t>
  </si>
  <si>
    <t>Rasheed filling</t>
  </si>
  <si>
    <t xml:space="preserve">Warraich Filling Station </t>
  </si>
  <si>
    <t>Kunja-Gujrat</t>
  </si>
  <si>
    <t>Rajpoot Petroleum</t>
  </si>
  <si>
    <t>Shorkot</t>
  </si>
  <si>
    <t>Baba Mola Pak FS</t>
  </si>
  <si>
    <t>Chauhdary FS</t>
  </si>
  <si>
    <t>Kamalia</t>
  </si>
  <si>
    <t>Friends P/S</t>
  </si>
  <si>
    <t>Jaranwala</t>
  </si>
  <si>
    <t>Al Mehboob P/S</t>
  </si>
  <si>
    <t>Nankana</t>
  </si>
  <si>
    <t xml:space="preserve">Jutt Petroleum </t>
  </si>
  <si>
    <t>Bahawalnagar</t>
  </si>
  <si>
    <t>Masoom Filling Stations</t>
  </si>
  <si>
    <t>Al-Noor</t>
  </si>
  <si>
    <t>Iftikhar petroleum</t>
  </si>
  <si>
    <t>Habibabad</t>
  </si>
  <si>
    <t>Sikandar petroleum</t>
  </si>
  <si>
    <t>Sadiq Petroleum</t>
  </si>
  <si>
    <t>Patafi Filling Station</t>
  </si>
  <si>
    <t>Mehmood Kot</t>
  </si>
  <si>
    <t xml:space="preserve">RAO Petroleum Services </t>
  </si>
  <si>
    <t xml:space="preserve">Qayyum F/S          </t>
  </si>
  <si>
    <t>Other Gain/(Loss)</t>
  </si>
  <si>
    <t>IFEM</t>
  </si>
  <si>
    <t>OMC Margin</t>
  </si>
  <si>
    <t>Dealer Margin</t>
  </si>
  <si>
    <t>Price Before IFEM</t>
  </si>
  <si>
    <t>Price Before Margins</t>
  </si>
  <si>
    <t>Price Before PL</t>
  </si>
  <si>
    <t>Petroleum Levy</t>
  </si>
  <si>
    <t>Price Before ST</t>
  </si>
  <si>
    <t>Sales Tax</t>
  </si>
  <si>
    <t>HSD</t>
  </si>
  <si>
    <t>Fixed Sale Price</t>
  </si>
  <si>
    <t>LEGENDS:</t>
  </si>
  <si>
    <t>Fixed</t>
  </si>
  <si>
    <t>Variable</t>
  </si>
  <si>
    <t>Mostly Unchanged</t>
  </si>
  <si>
    <t>PMG</t>
  </si>
  <si>
    <t>SKO</t>
  </si>
  <si>
    <t>LDO</t>
  </si>
  <si>
    <t>WHT on Dealer Margin</t>
  </si>
  <si>
    <t>Franchise Fee</t>
  </si>
  <si>
    <t>12% Filer</t>
  </si>
  <si>
    <t>24% Non-Filer</t>
  </si>
  <si>
    <t>Non Fuel Revenue</t>
  </si>
  <si>
    <t>Car Wash</t>
  </si>
  <si>
    <t>Tyre Shop</t>
  </si>
  <si>
    <t>Oil Change</t>
  </si>
  <si>
    <t>PRA 16% on FF &amp; NFR</t>
  </si>
  <si>
    <t>Filer</t>
  </si>
  <si>
    <t>Non-Filer</t>
  </si>
  <si>
    <t>Carriage</t>
  </si>
  <si>
    <t>GST 17% on Carriage</t>
  </si>
  <si>
    <t>Delivered Price</t>
  </si>
  <si>
    <t>Display Price</t>
  </si>
  <si>
    <t>Ex-Depot Price</t>
  </si>
  <si>
    <t>Discount
(Rs.)</t>
  </si>
  <si>
    <t>Ex Depot Price</t>
  </si>
  <si>
    <t>SAP Code</t>
  </si>
  <si>
    <t>R-00008</t>
  </si>
  <si>
    <t>R-00070</t>
  </si>
  <si>
    <t>R-00086</t>
  </si>
  <si>
    <t>Rana Saleem Petroleum</t>
  </si>
  <si>
    <t>Ahsan Petroleum</t>
  </si>
  <si>
    <t>R-00040</t>
  </si>
  <si>
    <t>R-00071</t>
  </si>
  <si>
    <t>R-00002</t>
  </si>
  <si>
    <t>Warraich Petroleum</t>
  </si>
  <si>
    <t>R-00013</t>
  </si>
  <si>
    <t>Al-Subhan Petroleum</t>
  </si>
  <si>
    <t>R-00015</t>
  </si>
  <si>
    <t>Haryana Petroleum Service</t>
  </si>
  <si>
    <t>R-00004</t>
  </si>
  <si>
    <t>Al-Mustafa CNG F/S</t>
  </si>
  <si>
    <t>R-00122</t>
  </si>
  <si>
    <t>R-00056</t>
  </si>
  <si>
    <t>Yousaf Zai F/S</t>
  </si>
  <si>
    <t>Actual DM</t>
  </si>
  <si>
    <t>Actual OMC Margin</t>
  </si>
  <si>
    <t>Deductions</t>
  </si>
  <si>
    <t>Difference</t>
  </si>
  <si>
    <t>Shan Petroleum</t>
  </si>
  <si>
    <t>R-00042</t>
  </si>
  <si>
    <t>R-00032</t>
  </si>
  <si>
    <t>R-00017</t>
  </si>
  <si>
    <t>Kareem Block (Kyani)</t>
  </si>
  <si>
    <t>PMG &amp; HSD</t>
  </si>
  <si>
    <t>Price Effective January 01, 2020</t>
  </si>
  <si>
    <t xml:space="preserve">Price Effective January 01, 2020 </t>
  </si>
  <si>
    <t>Haroonabad F/S</t>
  </si>
  <si>
    <t>Nawab Allah Yar</t>
  </si>
  <si>
    <t>Roshan</t>
  </si>
  <si>
    <t>CNG Power</t>
  </si>
  <si>
    <t>Jutt Petroleum</t>
  </si>
  <si>
    <t>Toheed F/S</t>
  </si>
  <si>
    <t>Chauhdary Tayyab F/S</t>
  </si>
  <si>
    <t>R-00021</t>
  </si>
  <si>
    <t>Ashraf F/S</t>
  </si>
  <si>
    <t>R-00115</t>
  </si>
  <si>
    <t>R-00019</t>
  </si>
  <si>
    <t>Kharia-Gujrat</t>
  </si>
  <si>
    <t>Bhimber</t>
  </si>
  <si>
    <t>Filer/Non Filer</t>
  </si>
  <si>
    <t>Non Filer</t>
  </si>
  <si>
    <t>12% Filer/24% Non-Filer</t>
  </si>
  <si>
    <t>Filer / Non-Filer</t>
  </si>
  <si>
    <t>12% Filer / 24% Non-Filer</t>
  </si>
  <si>
    <t>Ittefaq FS</t>
  </si>
  <si>
    <t>Supply Point</t>
  </si>
  <si>
    <t> CPI</t>
  </si>
  <si>
    <t> SIH</t>
  </si>
  <si>
    <t> GAT</t>
  </si>
  <si>
    <t> VHR</t>
  </si>
  <si>
    <t> SWL</t>
  </si>
  <si>
    <t>  SWL</t>
  </si>
  <si>
    <t> KND</t>
  </si>
  <si>
    <t>  CPI</t>
  </si>
  <si>
    <t> MCH</t>
  </si>
  <si>
    <t>CPI</t>
  </si>
  <si>
    <t>Customer Code</t>
  </si>
  <si>
    <t>Name</t>
  </si>
  <si>
    <t>Supply point</t>
  </si>
  <si>
    <t>Faisalabad</t>
  </si>
  <si>
    <t>Rehman Petroleum</t>
  </si>
  <si>
    <t>Pakpatan</t>
  </si>
  <si>
    <t>At Mouza Khathyala Khurd On Khathyala Khurd-Phalia Road Tehsil Malakwal &amp; District Mandi Bahauddin</t>
  </si>
  <si>
    <t>Near Bus Stand Ghorkhpur On Adiyala Road at Rawalpindi</t>
  </si>
  <si>
    <t>At Mahal Mianwal On Rondah Qadirabad Tehsil &amp; District Mandi Bahauddin</t>
  </si>
  <si>
    <t>Plot No:26, Block-C/3, Gulberg-III, Scheme, On MM Alam Road Near Firdous Market Tehsil Model Town &amp; District Lahore</t>
  </si>
  <si>
    <t>Mian Jaan Muhammad Petroleum</t>
  </si>
  <si>
    <t>Al-Qayyum-2 PS</t>
  </si>
  <si>
    <t>Liaqatpur District Rahim Yar Khan</t>
  </si>
  <si>
    <t>Haq Brother-3</t>
  </si>
  <si>
    <t>KM No:2 Of Feroza- Head Fareed Noor Afshan Road At Chak No 69/A Tehsil Liaqat Pur &amp; District Rahim Yar Khan</t>
  </si>
  <si>
    <t>Royal-1-PS</t>
  </si>
  <si>
    <t>Chak No: 121/ GB On Jananwala -Faisalabad Road Tehsil Jaranwala District Faisalabad</t>
  </si>
  <si>
    <t>Chak No: 634 GB Tehsil Shorkot &amp; District Jhang</t>
  </si>
  <si>
    <t>Makki Filling Station</t>
  </si>
  <si>
    <t>Alfalah Petroleum</t>
  </si>
  <si>
    <t>Al Shafi Filling Station</t>
  </si>
  <si>
    <t>3 KM Bypass Okanwala Road Chichawatni tehsil Chichawatni &amp; district Sahiwal</t>
  </si>
  <si>
    <t>Nurpur Filling Station</t>
  </si>
  <si>
    <t>Sahiwal Pakpattan Road  B/W 23/24 KM from Pakpattan  Tehsil &amp; District Pakpattan</t>
  </si>
  <si>
    <t>Arzai Shahu Khan  Sarhad Mouza 93/D Road Sandhay Khan Tehsil &amp; District Pakpattan</t>
  </si>
  <si>
    <t>Baloch Filling Station</t>
  </si>
  <si>
    <t>Euro-6</t>
  </si>
  <si>
    <t>Mouza Nazam Abad Tehsil &amp; District Rahim Yar Khan</t>
  </si>
  <si>
    <t>Mouza Mahal Khewa, KM 27 Jhang, Located Jhang-Chiniot Road At Kewa Tehsil &amp; District Jhang</t>
  </si>
  <si>
    <t>Moazamabad On Sargodha - Kot Momin Road Teshil Kot Momin &amp; District Sargodha</t>
  </si>
  <si>
    <t>Aqeel Petroleum</t>
  </si>
  <si>
    <t>FRIENDS PS</t>
  </si>
  <si>
    <t>Omer Petroleum Service</t>
  </si>
  <si>
    <t>Choot Khord, On Sial More - Phalia – Gujrat Road, Tehsil Phalia, District Mandi Bahauddin</t>
  </si>
  <si>
    <t>ATTA AND SONS WASNAL</t>
  </si>
  <si>
    <t>SALMAN PS</t>
  </si>
  <si>
    <t>Haider Ali FS</t>
  </si>
  <si>
    <t>Al Basit Filling Station</t>
  </si>
  <si>
    <t>NADEEM SHAHZAD PS</t>
  </si>
  <si>
    <t>Ejaz Petroleum</t>
  </si>
  <si>
    <t>Imran Bashir F.S</t>
  </si>
  <si>
    <t>Madina Petroleum</t>
  </si>
  <si>
    <t>Aashir Petroleum</t>
  </si>
  <si>
    <t>Azeem CNG Filling Station</t>
  </si>
  <si>
    <t>New Ravi Service Center</t>
  </si>
  <si>
    <t>Pattafi Filling Station</t>
  </si>
  <si>
    <t>On Harnand Dajal Road at Mousa Gakanah Wazari Tehsil Jampur District Rajanpur</t>
  </si>
  <si>
    <t>Master Petroleum Service</t>
  </si>
  <si>
    <t>Gulzar Petroleum Service</t>
  </si>
  <si>
    <t>United Petroleum Services</t>
  </si>
  <si>
    <t>Sadiq Filling Station</t>
  </si>
  <si>
    <t>Rasheed Petroleum Services</t>
  </si>
  <si>
    <t>Haji Mushtaq Petroleum</t>
  </si>
  <si>
    <t>Khan Brothers Filling Station</t>
  </si>
  <si>
    <t>Bismillah Filling Station</t>
  </si>
  <si>
    <t>Gondal Filling Station</t>
  </si>
  <si>
    <t>Muhammadi Filling Station</t>
  </si>
  <si>
    <t>Quality Petroleum Services</t>
  </si>
  <si>
    <t>Ali Muhammad PS</t>
  </si>
  <si>
    <t>Adeel CNG</t>
  </si>
  <si>
    <t>Qaisar Warrich Petroleum</t>
  </si>
  <si>
    <t>Kallu PS</t>
  </si>
  <si>
    <t>Retro Fuels (Shan)</t>
  </si>
  <si>
    <t>Retro Fuels (Usman)</t>
  </si>
  <si>
    <t>Waince Petroleum</t>
  </si>
  <si>
    <t>Retro Fuels (Hashim)</t>
  </si>
  <si>
    <t>Retro Fuels (Suleman)</t>
  </si>
  <si>
    <t>Ghani Petroleum</t>
  </si>
  <si>
    <t>Akbar Filling Station</t>
  </si>
  <si>
    <t>Saeed &amp; Sons PS</t>
  </si>
  <si>
    <t>Haneef Petroleum</t>
  </si>
  <si>
    <t>AM Petroleum Services</t>
  </si>
  <si>
    <t>Ismail Petroleum Services</t>
  </si>
  <si>
    <t>Asjad Petroleum Services</t>
  </si>
  <si>
    <t>Kharral PS</t>
  </si>
  <si>
    <t>EURO OIL (Pvt.) LIMITED</t>
  </si>
  <si>
    <t xml:space="preserve">EURO OIL (PVT) LIMITED RETAIL OUTLETS DATA </t>
  </si>
  <si>
    <t>Sr #</t>
  </si>
  <si>
    <t xml:space="preserve">Site Name </t>
  </si>
  <si>
    <t>Site Address</t>
  </si>
  <si>
    <t>District</t>
  </si>
  <si>
    <t>AHMAD F.S</t>
  </si>
  <si>
    <t>Ajnala Road – Old Bhalwal Bypass, Bhalwal</t>
  </si>
  <si>
    <t>Al-Buraq F/S</t>
  </si>
  <si>
    <t>Rawalpindi</t>
  </si>
  <si>
    <t>Mouza/Mahal Dorana Langana, Located opposite women university, Multan Mattital Road, District Tehsil Multan</t>
  </si>
  <si>
    <t>Multan</t>
  </si>
  <si>
    <t>Al-Fareed FS</t>
  </si>
  <si>
    <t>At Chak No. 81/5R Tehsil &amp; District Sahiwal.</t>
  </si>
  <si>
    <t>Mouza Darkali Mamori, Rawat-Kallar Road, Tehsil Kalarsyedan, District Rawalpindi</t>
  </si>
  <si>
    <t>Al-Noor Filling Station</t>
  </si>
  <si>
    <t>Mouza Khori 9/10-km,from Sikandar Chowk on Malka Haans-Nathain Road, Tehsil District Pakpaatan</t>
  </si>
  <si>
    <t>Al-Qadir Filling Station</t>
  </si>
  <si>
    <t>Chak No. 22 EB 6/7, KM From Kamir on Pakpattan Road, Tehsil Arifwala, District Pakpattan</t>
  </si>
  <si>
    <t>Rahim Yar Khan</t>
  </si>
  <si>
    <t>Al Subhan Petrolum</t>
  </si>
  <si>
    <t>Mouza Mangat, On Phalia-Mandi Bahauddin Road, Tehsil and District Mandi Bahauddin</t>
  </si>
  <si>
    <t>Basharat Petroleum</t>
  </si>
  <si>
    <t>Jhang</t>
  </si>
  <si>
    <t>Chaudhary Tayyab P/S</t>
  </si>
  <si>
    <t>Mouza Chichian Kharian 9/10 Km From Kharian On Gujrat – Kharian Road Tehsil Kharian District Gujrat.</t>
  </si>
  <si>
    <t>Chaudhary F-S</t>
  </si>
  <si>
    <t>Toba Tek Singh Chichawatni Road Kamalia</t>
  </si>
  <si>
    <t>Tooba Tek Singh</t>
  </si>
  <si>
    <t>Euro-5</t>
  </si>
  <si>
    <t>Euro-9</t>
  </si>
  <si>
    <t>50-Lower Mall, Near MAO College, City District Lahore.</t>
  </si>
  <si>
    <t>Mouza/Mahal On Chakwal-Sohawa Road Tehsil &amp; District Chakwal</t>
  </si>
  <si>
    <t>Chakwal</t>
  </si>
  <si>
    <t>Sahiwal-Pakpattan Road chak No. 111/9-L Tehsil &amp; District Sahiwal</t>
  </si>
  <si>
    <t>Golra Sharif Filling Station</t>
  </si>
  <si>
    <t>18 to 19 KM on shahpur Sahiwal Road at wadhi Tehsil Shahpur, District Sargodha</t>
  </si>
  <si>
    <t>Haroonabad FS</t>
  </si>
  <si>
    <t>Chak No.73/4-R In B/W KM 1/2 from Haroonabad on Qamrani Road Tehsil Haroonabad and District Bahawalnagar</t>
  </si>
  <si>
    <t>Malakwal By pass Tehsil &amp; District Mandibahuddin</t>
  </si>
  <si>
    <t>Chak No:3 On Malikwal-Sargodha Road Tehsil &amp; District Mandi Bahauddin</t>
  </si>
  <si>
    <t>Iftikhar Petroleum</t>
  </si>
  <si>
    <t>Mouza Fatehpur Main Depalpur – Kasur Road Teshil and District Kasur</t>
  </si>
  <si>
    <t>Kasur</t>
  </si>
  <si>
    <t>M.Hussain Petroleum</t>
  </si>
  <si>
    <t>Pasrur Road At Mouza Talwandi Musa Khan Tehsil Sadar &amp; District Gujranwala</t>
  </si>
  <si>
    <t>Gujranwala</t>
  </si>
  <si>
    <t>Mouza Khayali ShahPur Gujranwala Bypass Tehsil City &amp; District Gujranwala</t>
  </si>
  <si>
    <t>Masoom Filling Station</t>
  </si>
  <si>
    <t>15-KM Depalpur-Pakpattan Road, Tehsil Depalpur, District OKARA.</t>
  </si>
  <si>
    <t>Pakpattan Sahiwal Raod At Chak No: 79/D Tehsil &amp; District Pakpattan</t>
  </si>
  <si>
    <t>Multan Filling Station</t>
  </si>
  <si>
    <t>Mouza Peer Mehmood Habiba Sial, Tehsil &amp; District Multan</t>
  </si>
  <si>
    <t>Mouza Sobharam Okara Depalpur Road Depalpur Tehsil Depalpur District Okara</t>
  </si>
  <si>
    <t>COCO 1- POWER</t>
  </si>
  <si>
    <t>Plot No.35, 36, Block B, M.A Johar Town, Tehsil &amp; District Lahore</t>
  </si>
  <si>
    <t>Mouza Kakki Nou Dom Tehsil Sorkot &amp; District Jhang.</t>
  </si>
  <si>
    <t>Mouza Harnoli, Tehsil Piplan &amp; District Mianwali.</t>
  </si>
  <si>
    <t>Mouza Khatta Saghral Tehsil &amp; District Khushab</t>
  </si>
  <si>
    <t>Khushab</t>
  </si>
  <si>
    <t>Shahpur Filling Station</t>
  </si>
  <si>
    <t>Mouza Chahoni, Tehsil Shahdra, District Sargodha</t>
  </si>
  <si>
    <t>Chak Sadda, Gujrat Road, Tehsil &amp; District Gujrat.</t>
  </si>
  <si>
    <t>Fuel Tech (Pvt) Ltd (Taimoor)</t>
  </si>
  <si>
    <t>Mouza/Mahal Malal, B/W Km no: 16/17 From Fateh Jang- 58/59 Km From Attock Fateh Jang-Pindi Gheb-Tala Gang</t>
  </si>
  <si>
    <t xml:space="preserve">Attock </t>
  </si>
  <si>
    <t>Stadium Road, Near Shama Cinema Chowk Sargodha</t>
  </si>
  <si>
    <t>Waqas Petroleum</t>
  </si>
  <si>
    <t>Mouza Kunjah,on Kujnah-Jheeranwali Road Tehsil &amp; District Gujrat.</t>
  </si>
  <si>
    <t>At Chak No. 109/10 R Chowk Meiltla Lodhran - Khanewal Road Tehsil Jhanian District Khanewal</t>
  </si>
  <si>
    <t>Khanewal</t>
  </si>
  <si>
    <t>BABA MOLA PAK PETROLEUM</t>
  </si>
  <si>
    <t>Mouza Kotla Zareef Khan Jhang-Multan Road Tehsil Shorkot &amp; District Jhang</t>
  </si>
  <si>
    <t xml:space="preserve"> Jhang</t>
  </si>
  <si>
    <t>AL JANNAT PETROLEUM</t>
  </si>
  <si>
    <t>Mouza Ahmad Nagar, Tehsil Laliyan, District Chiniot</t>
  </si>
  <si>
    <t xml:space="preserve"> Chiniot</t>
  </si>
  <si>
    <t>SHAHABAD TRUCKING STATION</t>
  </si>
  <si>
    <t>MAKKAH PETROLEUM</t>
  </si>
  <si>
    <t>Mouza Rukkan On Rukkan - Mahal Road Teshil Malakwal &amp; District Mandi Bahauddin</t>
  </si>
  <si>
    <t>AHMAD-2 FILLING STATION</t>
  </si>
  <si>
    <t>Mouza Sohawa Dalwana On Sargosha-Gujrat Road In B/W 5/6 Km From Mandi Bahuddin Tehsil &amp; District Mandi Bahauddin</t>
  </si>
  <si>
    <t>SIALVI FILLING STATION</t>
  </si>
  <si>
    <t>Mahal Mong On Mong - Malikwal Road Teshil &amp; District Mandi Bahauddin</t>
  </si>
  <si>
    <t>Mahal Miana Gondal On Gujrat-Sargodha Road Teshil Malikwal &amp; District Mandi Bahauddin</t>
  </si>
  <si>
    <t>MUKHTAR PETROLEUM</t>
  </si>
  <si>
    <t>Mouza Ahal On Ahla Road Tehsil &amp; District Mandi Bahauddin</t>
  </si>
  <si>
    <t>AL-HASEEB PETROELUM SERIVCE</t>
  </si>
  <si>
    <t>Mouza Dariyagondal Tehsil Ahmedpur Sial, District Jhang</t>
  </si>
  <si>
    <t>NEW ZAM ZAM PETROLEUM SERVICE</t>
  </si>
  <si>
    <t>Chak #c 515GB, Tehsil &amp; District Toba Tek Singh</t>
  </si>
  <si>
    <t>Toba Tek Singh</t>
  </si>
  <si>
    <t>Retro Fuels (M.Akram)</t>
  </si>
  <si>
    <t>Mouza Kakowal Tehsil &amp; District Mandi Bahoudin</t>
  </si>
  <si>
    <t>KADHAR FILLING STATION</t>
  </si>
  <si>
    <t>Mouza Kadhar On Phalia Road In B/W 19/20 Km From Mandi Bahauddin Tehsil &amp; District Mandi Bahauddin</t>
  </si>
  <si>
    <t>LALA PAK FILLING STATION</t>
  </si>
  <si>
    <t>Hujra Se 4.5 Kilometer Or Depalpur Se 12.5 Kilometer Near Sham Deen Cold Store Main Kasur Road Deepalpur Tehsil Deepalpur &amp; District Okara</t>
  </si>
  <si>
    <t>Mouza Dera Izzat On Bahawalpur City Ahmedpur East Road Near Daewoo Bur Terminal, KM No.1,2 Bahawalpur City Teshil &amp; District Bahawalpur</t>
  </si>
  <si>
    <t>Bahawalpur</t>
  </si>
  <si>
    <t>BARKAT FILLING STATION</t>
  </si>
  <si>
    <t>Mahal Fatehpur Raiyan Tehsil &amp; District Rahim Yar Khan</t>
  </si>
  <si>
    <t>HAJI WALI MUHAMMAD &amp; SONS P-S</t>
  </si>
  <si>
    <t>Chak No. 3/14l Kassowal Tehsil Chichawatni &amp; District Sahiwal</t>
  </si>
  <si>
    <t>JAMAL PETROLEUM SERVICES</t>
  </si>
  <si>
    <t>Mouza Hardogumbon Kahror Pakka Road In B/W 8/9 Km from Melsi, Teshil Melsi &amp; District Vehari</t>
  </si>
  <si>
    <t>Vehari</t>
  </si>
  <si>
    <t>QAYYUM FILLING STATION</t>
  </si>
  <si>
    <t>Chak No. 87/12-l, Okanwala Road Tehsil Chichawatni Distrcit Sahiwal</t>
  </si>
  <si>
    <t>NOULAKHA FILLING STATION</t>
  </si>
  <si>
    <t>Chak No. 187/9-l, on Lahore – Multan (N-5) in KM no. 14/15 from Sahiwal Bypass Tehsil &amp; District Sahiwal</t>
  </si>
  <si>
    <t>CH.AHMAD PETROLEUM</t>
  </si>
  <si>
    <t>Mouza Thathi Kalrani On Shahpur/Sargodha/Mianwali Road Teshil &amp; District Khushab</t>
  </si>
  <si>
    <t>MUHAMMAD FILLING STATION</t>
  </si>
  <si>
    <t>Mouza Qlkalah Jhang – Bhakkar Road Tehsil Mankera &amp; District Bhakkar</t>
  </si>
  <si>
    <t>AWAN PETROLEUM</t>
  </si>
  <si>
    <t>Mouza Khanpur B/W 19/20 Km From Chakwal On Chakwal Sohawa Road Tehsil &amp; District Chakwal</t>
  </si>
  <si>
    <t>AWAN-2 PETROLEUM</t>
  </si>
  <si>
    <t>Lahore Sargodha Road - Mianwali Bannu Road, at Botala District Khushab</t>
  </si>
  <si>
    <t>Mahal Thoha Bahadur On Thoha Bahadur Bypass Teshil &amp; District Chakwal</t>
  </si>
  <si>
    <t>ARBAAZ BROTHERS FILLING STATION</t>
  </si>
  <si>
    <t>Mouza Bhakar Bar, Tehsil Shahpur, District Sargodha</t>
  </si>
  <si>
    <t xml:space="preserve"> Sargodha</t>
  </si>
  <si>
    <t>MALIK KHALID BHAGGA PETROLEUM</t>
  </si>
  <si>
    <t>Mahal Mardwal On Naushehra-Jabba Road Teshil Naushehra &amp; District Khushab</t>
  </si>
  <si>
    <t>NOON &amp; REHAN PETROLEUM SERVICE</t>
  </si>
  <si>
    <t>Sial  Phalia Road Halalpur Tehsil Kot Momin &amp; District Sargodha.</t>
  </si>
  <si>
    <t>Road King Petroleum(Pvt) Limited</t>
  </si>
  <si>
    <t>ZIA PETROLEUM</t>
  </si>
  <si>
    <t>CHAUDHRY N-5 PETROLEUM SERVICE</t>
  </si>
  <si>
    <t>Chak No. 17/1 - AL, on Lahore - Multan Road Tehsil Renala Khurd &amp; District Okara</t>
  </si>
  <si>
    <t>Kamalia Pirmahal Road KM no. 1/2 Mahal Road Tehsil Kamalia &amp; District Toba Tek Sing</t>
  </si>
  <si>
    <t>Toba Tek Sing</t>
  </si>
  <si>
    <t>Mouza Aqil Shah, Tehsil Shahpur, District Sargodha</t>
  </si>
  <si>
    <t>Mouza Maroof on Jalalpur Jattan Road in B/W 9/10 KM from Gujrat Tehsil &amp; District Gujrat</t>
  </si>
  <si>
    <t>Chak # 237 GB, Tehsil Jaranwala, District Faisalabad</t>
  </si>
  <si>
    <t>Rehmani Petroleum</t>
  </si>
  <si>
    <t xml:space="preserve"> Mouza Ahmedpur on Bahwalpur - Hasialpur Road In Km No: 62/63 From Bahawalpur Tehsil Khairpur Tamewali &amp; District Bahawalpur</t>
  </si>
  <si>
    <t>Gojra – Toba Road at Chak No. 284 JB, Tehsil &amp; District Toba Tek Singh</t>
  </si>
  <si>
    <t>Mouza Chak No: 331/GB 0.030 KM From Pirmahal Sharkot Cantt Road Jugno Chow To Khikha Toba Tek Singh Road Tehsil Pirmahal District T.T. Singh</t>
  </si>
  <si>
    <t>Pakpattan – Kameer Road Tehsil Arifwala &amp; District Pakpattan</t>
  </si>
  <si>
    <t>Mouza Panjgarian On gujranwala Ajniawnwala Road In B/W 33/34 Km From Gujranwala Tehsil Noshehran Virkan &amp; District Gujranwala</t>
  </si>
  <si>
    <t>Mahal Farid Mahmood Kathia, Tehsil Shorkot, District Jhnag</t>
  </si>
  <si>
    <t>Mouza Mughlan Wala On Lahore To Jarnawala/Faisalabad Road In B/W 32/33 Km From Nankana Sahib Tehsil &amp; District Nankana Sahib</t>
  </si>
  <si>
    <t>Nankana Sahib</t>
  </si>
  <si>
    <t>Rehan Petroleum Service</t>
  </si>
  <si>
    <t>Shakarganj Sugar Mill Link Road at Mouza Kalu Wala Sial Tehsil &amp; District Jhang</t>
  </si>
  <si>
    <t>Chak No. 66. JB on Jhang Road Tehsil Sadar &amp; District Faisalabad</t>
  </si>
  <si>
    <t xml:space="preserve"> Faisalabad</t>
  </si>
  <si>
    <t>Mouza Arainan Khurd on Eminabad Sialkot Road, In B/W 17/18 km from Daska</t>
  </si>
  <si>
    <t>Sialkot</t>
  </si>
  <si>
    <t>Shaho Baloch, Post Office Pakpattan, District Pakpattan</t>
  </si>
  <si>
    <t>1 KM Chowk Kumharan towards Khanewal, Mouza Booapur near Pakarab Fertilizer Factory Tehsil &amp; District Multan</t>
  </si>
  <si>
    <t>Plot Khewat No 29, Khasra No 114-8/from DG Khan2, 13/2 at Mouza gaddi sharqi on DG Khan to rajan pur road in between Km No 409-710 (3.6 KM from DG Khan) Tehsil &amp; District DG Khan</t>
  </si>
  <si>
    <t>Dera Ghazi Khan</t>
  </si>
  <si>
    <t>Euro 10, Plot No [PP-2],  Sunder Industrial Estate, Tehsil Raiwind, Lahore</t>
  </si>
  <si>
    <t>Al -Madina PS</t>
  </si>
  <si>
    <t>Al Madina PS, Adda Mor Khunda on Main Lahore Jaranwala Road, Tehsil &amp; District  Nankana Sahib, Pakistan</t>
  </si>
  <si>
    <t>Euro 8. Plot NO 0020/G Block G, Gilberg III, Near Firdous Market, on Alizeb Road, Tehsil Model Town, District Lahore</t>
  </si>
  <si>
    <t>Royal  II FS</t>
  </si>
  <si>
    <t>Mouza 9-JB Located at faisalabad Sargodha Road Tehsil Faisalabad Sadar District Faisalabad</t>
  </si>
  <si>
    <t>Rajanpur</t>
  </si>
  <si>
    <t>Al-Akbar Petroleum</t>
  </si>
  <si>
    <t>Bahadurpura janobi (South) on jalapur pirwala lodhran Road Tehsil Jalapur Pirwala Multan</t>
  </si>
  <si>
    <t>Mouza Makan Shah Loacted on kot Sabzal to Dhandi Raiwlway Phatak Road Teshil Sadiqabad District RahimYar Khan</t>
  </si>
  <si>
    <t>Mouza/Mahal Shamki Bhattiyan, located on National Highway N-5  Road, Tehsil Raiwind, District Lahore</t>
  </si>
  <si>
    <t>Mouza Raja Jhang Tehsil &amp; District Kasur</t>
  </si>
  <si>
    <t>Sarhad Balochistan</t>
  </si>
  <si>
    <t>Mouza Jaisal Thal, Tehsil District Layyah</t>
  </si>
  <si>
    <t>Layyah</t>
  </si>
  <si>
    <t>Euro-15</t>
  </si>
  <si>
    <t>Property No: SE-2R-37-A, Tehsil Shalimar, District Lahore</t>
  </si>
  <si>
    <t>Euro-7</t>
  </si>
  <si>
    <t>Mouza Judicial Employees Cooperative Housing Society Tehsil Saddar &amp; District Gujranwala</t>
  </si>
  <si>
    <t>Mouza/ Mahal Kot Samaba, Tehsil &amp;District Rahim Yar Khan</t>
  </si>
  <si>
    <t>Plot No. 113/9-A-M Sector-E, Quaid-E-Azam Industrial Estate, Hadyat Road, Kot Lakhpat, Tehsil City, District Lahore</t>
  </si>
  <si>
    <t>Mouza Hajiwala on Kurianwala Road in B/W 26/27 KM from Gujrat Tehsil &amp; District Gujrat</t>
  </si>
  <si>
    <t>Chunian Othaar, Changa Manga-Chunia Road Tehsil Chunia &amp; District Kasur</t>
  </si>
  <si>
    <t>Mouza Bangla Kambowan KM No. 01 from Chowk Baba Kamal Chisti On Kasur Depalpur Road, Tehsil &amp; District Kasur</t>
  </si>
  <si>
    <t>Mahal Hardo Ladheykay on Narowal - Mureedikay Road in B/W 32/33 KM from Mureedikay Tehsil Mureedikay &amp; District Sheikhupura</t>
  </si>
  <si>
    <t>Mahal 15/11L on Burewala Road Tehsil Chichawatni &amp; District Sahiwal</t>
  </si>
  <si>
    <t>Mouza Chak Sadda on Malakwal to Sargodha Road in B/W KM No. 6-7 From Malakwal Tehsil Bhera &amp; District Sargodha</t>
  </si>
  <si>
    <t>Aziz Fatima Filling Station</t>
  </si>
  <si>
    <t>In K.M. No. 5.00 of Shahi Road to Moeen Abad Road Via Darbar Jetha Bhutta at Mouza Jetha Bhutta Tehsil Khanpur &amp; District Rahim Yar Khan</t>
  </si>
  <si>
    <t>Euro-18</t>
  </si>
  <si>
    <t>Mouza/Mahal Liddhar, located On B/W KM No. 21 &amp; 22 Badian Road,  Tehsil Lahore Cantt, District Lahore</t>
  </si>
  <si>
    <t>Malik Filling Staton</t>
  </si>
  <si>
    <t xml:space="preserve">RAIWIND TO KOT RADHA KISHAN ROAD IN B/W 3/4 KM FROM RAIWIND, TESHIL RAIWIND &amp; DISTRICT LAHORE
</t>
  </si>
  <si>
    <t>Euro-19</t>
  </si>
  <si>
    <t>Chak No. 223/RB, 1.70 KM From Jhall Chowk Tehsil City &amp; District Faisalabad</t>
  </si>
  <si>
    <t>Euro-16</t>
  </si>
  <si>
    <t>Mouza Durana Langana 3.5 KM From Multan Khanewal Road Tehsil &amp; District Multan</t>
  </si>
  <si>
    <t>Plot No. 28 &amp; 29, Block – C, Main Boulevard, Faisal Town, Lahore</t>
  </si>
  <si>
    <t>JOIYA Filling Station</t>
  </si>
  <si>
    <t xml:space="preserve">Mouza Hasanpur Tiwana On Muzaffargrah Road in B/W 19/20 KM from Khushab Teshil &amp; District Khushab
</t>
  </si>
  <si>
    <t>MAHAL SHAHPUR KHANPUR ON LAHORE - MULTAN ROAD (N-5) TESHIL LAHORE CITY &amp; DISTRICT LAHORE</t>
  </si>
  <si>
    <t>Al-Razaq-2 Filling Station</t>
  </si>
  <si>
    <t>MOUZA NOTHAY KALYAL ON CHAKWAL TO RAWALPINDI 
ROAD IN B/W 15/16 KM FROM GUJJAR KHAN 
TEHSIL GUJJAR KHAN &amp; DISTRICT RAWALPINDI</t>
  </si>
  <si>
    <t>MOUZA/MAHAL CHAK NO. 56/5-L ON QADIRABAD-G.T ROAD, TEHSIL &amp; DISTRICT SAHIWAL</t>
  </si>
  <si>
    <t>MOUZA KOLIAN PARHON CHAKRI ROAD NEAR 
AL-HARAM CITY TEHSIL &amp; DISTRICT RAWALPINDI</t>
  </si>
  <si>
    <t>Euro-17</t>
  </si>
  <si>
    <t>MOLANA SHAUKAT ALI ROAD TEHSIL MODAL TOWN &amp; DISTRICT LAHORE</t>
  </si>
  <si>
    <t>Hassan Baba Petroleum</t>
  </si>
  <si>
    <t>IN KM NO. 4,OF ROAD FROM PULL DARI SANGHI TO CHAK NO 108/P VIA CHAK NO. 105/P, AT MOUZA PATTAN MANARA, JAFFARABAD TEHSIL &amp; DISTRICT RAHIM YAR KHAN.</t>
  </si>
  <si>
    <t>Hafiz FS</t>
  </si>
  <si>
    <t>CHAK NO. 520-GB, ON 288/JB TO UGHI ADDA IN B/W KM NO. 20-21 FROM TOBA TEK SINGH TEHSIL &amp; DISTRICT TOBA TEK SINGH</t>
  </si>
  <si>
    <t>CHAK NO. 666-GB ON PIRMAHAL - KAMALIA ROAD IN B/W 5/6 KM FROM PIRMAHALTESHIL PIRMAHAL &amp; DISTRICT TOBA TEK SINGH</t>
  </si>
  <si>
    <t>IN KM 13 OF CHAK NO. 125/P-MANTHAR VIA TAIL TALA MINOR (R.Y.KHAN-MANTHAR ROAD) AT MOUZA / MAHAL CHAK NO. 142/P, TEHSIL &amp; DISTRICT RAHIM YAR KHAN</t>
  </si>
  <si>
    <t xml:space="preserve">Millat FS </t>
  </si>
  <si>
    <t>CHAK NO. 207/RB, HAJIABAD SHEIKUPURA ROAD, FAISALABAD, TEHSIL CITY, DISTRICT FAISALABAD</t>
  </si>
  <si>
    <t>Jawwad Petroleum</t>
  </si>
  <si>
    <t>MOUZA TIHAL, ON KHARIAN BYPASS ROAD TEHSIL KHARIAN &amp; DISTRICT GUJRAT</t>
  </si>
  <si>
    <t>SAMUNDARI-RAJANA ROAD AT CHAK NO 198-GB TEHSIL SAMUNDARI &amp; DISTRICT FAISALABAD</t>
  </si>
  <si>
    <t>MOUZA/MAHAL CHAK NO. 54/A, LOCATED ON CHANNI GOTH – BAHAWALPUR  / KARACHI ROAD, TEHSIL LIAQUAT PUR DISTRICT RAHIM YAR KHAN</t>
  </si>
  <si>
    <t>CHAK NO. 527-GB ON FAISALABAD-SAMUNDARI ROAD IN B/W KM NO. 33/34 FROM FAISALABAD, TEHSIL SAMUNDARI &amp; DISTRICT FAISALABAD</t>
  </si>
  <si>
    <t>MOUZA MAHAL MADU KALIS AT DINA MAGLA ROAD, IN BETWEEN KM NO. 3/4, FROM DINA, TEHISL DINA, DISTRICT JEHLUM</t>
  </si>
  <si>
    <t>MOUZA/MAHAL CHANDRANI GARBI, ON BAHAWALPUR TO AHMEDPUR EAST NHA (N5) TEHSIL BAHAWALPUR SADAR &amp; DISTRICT BAHAWALPUR</t>
  </si>
  <si>
    <t>CHAK NO. 505/EB (ON CHAK NO. 505/EB MAIN ROAD) TEHSIL BUREWALA DISTRICT VEHARI</t>
  </si>
  <si>
    <t>Shaheen FS - DHA LHR</t>
  </si>
  <si>
    <t>SECTOR D, PHASE-IX, (SHUHDA TOWN) DEFENCE HOUSING AUTHORITY, LAHORE.</t>
  </si>
  <si>
    <t>CHAK NO. 147/EB, ON BUREWALA TO ARIFWALA ROAD IN B/W KM NO. 3-4 FROM ARIFWALA, TEHSIL ARIFWALA &amp; DISTRICT PAKPATTAN</t>
  </si>
  <si>
    <t>Al Nafay Filling Station</t>
  </si>
  <si>
    <t>MOUZA KHYALI IN B/W KM NO. 3 &amp; 4 FROM CHAN DA QILA, SHAHPUR, TEHSIL &amp; DISTRICT GUJRANWALA</t>
  </si>
  <si>
    <t>MOUZA TIBBI TAAN, IN B/W KM 6/7 FROM SARAI ALAMGIR ON MIRPUR-MANDI BAHAUDDIN ROAD TEHSIL SARAI ALAMGIR &amp; DISTRICT GUJRAT</t>
  </si>
  <si>
    <t>MOUZA/MAHAL QILLA SARDAR BAGHAIL SINGH, LOCATED ON 1.8 KM FROM KOT RADHA KISHAN, TOWARDS CHANGA MANGA KOT RADHA KISHAN-RAIWND ROAD, TEHSIL KOT RADHA KISHAN, DISTRICT KASUR.</t>
  </si>
  <si>
    <t>CHAK NO. 59/JB OPPOSITE AMINPUR INTERCHANGE, TEHSIL &amp; DISTRICT FAISALABAD</t>
  </si>
  <si>
    <t>CHAK NO. 85 / SHUMALI, LOCATED ON SARGODHA TO SILLAN WALI ROAD IN B/W KM NO. 7/8 FROM SARGODHA, TEHSIL &amp; DISTRICT SARGODHA</t>
  </si>
  <si>
    <t>CHAK NO. 229/RB JARANWALA-FAISALABAD ROAD IN BETWEEN 16/17 KM FROM FAISALABAD TEHSIL JARANWALA DISTRICT FAISALABAD.</t>
  </si>
  <si>
    <t>Fuel Tech (Pvt) Ltd (Azaan)</t>
  </si>
  <si>
    <t>Fuel Tech (Pvt) Ltd (Five Star)</t>
  </si>
  <si>
    <t>Shair Muhammad FS</t>
  </si>
  <si>
    <t>Euro-20</t>
  </si>
  <si>
    <t>Euro-10</t>
  </si>
  <si>
    <t>Euro-8</t>
  </si>
  <si>
    <t>Al-Aziz Petroleum</t>
  </si>
  <si>
    <t>Al-Fatir PS</t>
  </si>
  <si>
    <t>Al-Saqib Filling Station</t>
  </si>
  <si>
    <t>OMC Name</t>
  </si>
  <si>
    <t>Euro Oil (Pvt.)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</si>
</sst>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_);_(* \(#,##0.000\);_(* &quot;-&quot;??_);_(@_)"/>
    <numFmt numFmtId="167" formatCode="_(* #,##0.00000_);_(* \(#,##0.00000\);_(* &quot;-&quot;??_);_(@_)"/>
    <numFmt numFmtId="168" formatCode="_-* #,##0_-;\-* #,##0_-;_-* &quot;-&quot;??_-;_-@_-"/>
    <numFmt numFmtId="169" formatCode="_-* #,##0.00_-;\-* #,##0.00_-;_-* &quot;-&quot;??_-;_-@_-"/>
  </numFmts>
  <fonts count="4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2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</font>
    <font>
      <b/>
      <sz val="20"/>
      <color rgb="FF0070C0"/>
      <name val="Calibri"/>
      <family val="2"/>
      <scheme val="minor"/>
    </font>
    <font>
      <b/>
      <u/>
      <sz val="24"/>
      <name val="Calibri"/>
      <family val="2"/>
      <scheme val="minor"/>
    </font>
    <font>
      <sz val="11"/>
      <color rgb="FF0D0D0D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0" borderId="0"/>
    <xf numFmtId="0" fontId="5" fillId="0" borderId="0"/>
    <xf numFmtId="0" fontId="23" fillId="0" borderId="0"/>
    <xf numFmtId="0" fontId="24" fillId="0" borderId="0" applyNumberFormat="0" applyFill="0" applyBorder="0" applyAlignment="0" applyProtection="0"/>
    <xf numFmtId="0" fontId="25" fillId="0" borderId="20" applyNumberFormat="0" applyFill="0" applyAlignment="0" applyProtection="0"/>
    <xf numFmtId="0" fontId="26" fillId="0" borderId="21" applyNumberFormat="0" applyFill="0" applyAlignment="0" applyProtection="0"/>
    <xf numFmtId="0" fontId="27" fillId="0" borderId="22" applyNumberFormat="0" applyFill="0" applyAlignment="0" applyProtection="0"/>
    <xf numFmtId="0" fontId="27" fillId="0" borderId="0" applyNumberFormat="0" applyFill="0" applyBorder="0" applyAlignment="0" applyProtection="0"/>
    <xf numFmtId="0" fontId="28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1" fillId="15" borderId="23" applyNumberFormat="0" applyAlignment="0" applyProtection="0"/>
    <xf numFmtId="0" fontId="32" fillId="16" borderId="24" applyNumberFormat="0" applyAlignment="0" applyProtection="0"/>
    <xf numFmtId="0" fontId="33" fillId="16" borderId="23" applyNumberFormat="0" applyAlignment="0" applyProtection="0"/>
    <xf numFmtId="0" fontId="34" fillId="0" borderId="25" applyNumberFormat="0" applyFill="0" applyAlignment="0" applyProtection="0"/>
    <xf numFmtId="0" fontId="35" fillId="17" borderId="26" applyNumberFormat="0" applyAlignment="0" applyProtection="0"/>
    <xf numFmtId="0" fontId="36" fillId="0" borderId="0" applyNumberFormat="0" applyFill="0" applyBorder="0" applyAlignment="0" applyProtection="0"/>
    <xf numFmtId="0" fontId="23" fillId="18" borderId="27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28" applyNumberFormat="0" applyFill="0" applyAlignment="0" applyProtection="0"/>
    <xf numFmtId="0" fontId="39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39" fillId="42" borderId="0" applyNumberFormat="0" applyBorder="0" applyAlignment="0" applyProtection="0"/>
    <xf numFmtId="0" fontId="4" fillId="0" borderId="0"/>
    <xf numFmtId="0" fontId="3" fillId="0" borderId="0"/>
    <xf numFmtId="0" fontId="2" fillId="0" borderId="0"/>
    <xf numFmtId="0" fontId="40" fillId="0" borderId="0"/>
    <xf numFmtId="16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</cellStyleXfs>
  <cellXfs count="160">
    <xf numFmtId="0" fontId="0" fillId="0" borderId="0" xfId="0"/>
    <xf numFmtId="0" fontId="11" fillId="0" borderId="0" xfId="0" applyFont="1"/>
    <xf numFmtId="0" fontId="0" fillId="0" borderId="1" xfId="0" applyBorder="1" applyAlignment="1">
      <alignment horizontal="center" vertical="center"/>
    </xf>
    <xf numFmtId="164" fontId="13" fillId="0" borderId="1" xfId="1" applyNumberFormat="1" applyFont="1" applyFill="1" applyBorder="1" applyAlignment="1">
      <alignment horizontal="left" vertical="center"/>
    </xf>
    <xf numFmtId="164" fontId="13" fillId="2" borderId="1" xfId="1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43" fontId="0" fillId="0" borderId="1" xfId="1" applyFont="1" applyBorder="1" applyAlignment="1">
      <alignment horizontal="left"/>
    </xf>
    <xf numFmtId="0" fontId="14" fillId="3" borderId="0" xfId="0" applyFont="1" applyFill="1" applyAlignment="1">
      <alignment horizontal="center" vertical="center"/>
    </xf>
    <xf numFmtId="0" fontId="11" fillId="0" borderId="0" xfId="0" applyFont="1" applyAlignment="1">
      <alignment horizontal="right"/>
    </xf>
    <xf numFmtId="0" fontId="0" fillId="4" borderId="0" xfId="0" applyFill="1"/>
    <xf numFmtId="0" fontId="0" fillId="5" borderId="0" xfId="0" applyFill="1"/>
    <xf numFmtId="0" fontId="0" fillId="6" borderId="0" xfId="0" applyFill="1"/>
    <xf numFmtId="164" fontId="13" fillId="2" borderId="1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3" fontId="0" fillId="0" borderId="1" xfId="1" applyFont="1" applyBorder="1" applyAlignment="1">
      <alignment vertical="center"/>
    </xf>
    <xf numFmtId="43" fontId="0" fillId="0" borderId="1" xfId="1" applyFont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0" fillId="7" borderId="0" xfId="0" applyFill="1"/>
    <xf numFmtId="0" fontId="0" fillId="7" borderId="0" xfId="0" applyFill="1" applyAlignment="1">
      <alignment horizontal="center" vertical="center"/>
    </xf>
    <xf numFmtId="0" fontId="19" fillId="0" borderId="0" xfId="0" applyFont="1"/>
    <xf numFmtId="164" fontId="13" fillId="2" borderId="6" xfId="1" applyNumberFormat="1" applyFont="1" applyFill="1" applyBorder="1" applyAlignment="1">
      <alignment horizontal="left" vertical="center"/>
    </xf>
    <xf numFmtId="164" fontId="13" fillId="2" borderId="6" xfId="1" applyNumberFormat="1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43" fontId="0" fillId="0" borderId="0" xfId="0" applyNumberFormat="1"/>
    <xf numFmtId="165" fontId="0" fillId="0" borderId="0" xfId="0" applyNumberFormat="1"/>
    <xf numFmtId="0" fontId="16" fillId="3" borderId="7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vertical="center"/>
    </xf>
    <xf numFmtId="0" fontId="16" fillId="7" borderId="0" xfId="0" applyFont="1" applyFill="1" applyAlignment="1">
      <alignment horizontal="center" vertical="center"/>
    </xf>
    <xf numFmtId="43" fontId="13" fillId="7" borderId="0" xfId="0" applyNumberFormat="1" applyFont="1" applyFill="1" applyAlignment="1">
      <alignment vertical="center"/>
    </xf>
    <xf numFmtId="0" fontId="20" fillId="7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3" fontId="13" fillId="7" borderId="1" xfId="0" applyNumberFormat="1" applyFont="1" applyFill="1" applyBorder="1" applyAlignment="1">
      <alignment vertical="center"/>
    </xf>
    <xf numFmtId="164" fontId="13" fillId="7" borderId="1" xfId="1" applyNumberFormat="1" applyFont="1" applyFill="1" applyBorder="1" applyAlignment="1">
      <alignment horizontal="left" vertical="center"/>
    </xf>
    <xf numFmtId="0" fontId="13" fillId="7" borderId="1" xfId="0" applyFont="1" applyFill="1" applyBorder="1" applyAlignment="1">
      <alignment horizontal="center" vertical="center"/>
    </xf>
    <xf numFmtId="2" fontId="0" fillId="7" borderId="0" xfId="0" applyNumberFormat="1" applyFill="1" applyAlignment="1">
      <alignment vertical="center"/>
    </xf>
    <xf numFmtId="43" fontId="13" fillId="7" borderId="1" xfId="1" applyFont="1" applyFill="1" applyBorder="1" applyAlignment="1">
      <alignment horizontal="left"/>
    </xf>
    <xf numFmtId="0" fontId="11" fillId="7" borderId="0" xfId="0" applyFont="1" applyFill="1" applyAlignment="1">
      <alignment horizontal="right"/>
    </xf>
    <xf numFmtId="0" fontId="11" fillId="7" borderId="0" xfId="0" applyFont="1" applyFill="1"/>
    <xf numFmtId="0" fontId="13" fillId="7" borderId="6" xfId="0" applyFont="1" applyFill="1" applyBorder="1" applyAlignment="1">
      <alignment horizontal="center" vertical="center"/>
    </xf>
    <xf numFmtId="164" fontId="13" fillId="7" borderId="6" xfId="1" applyNumberFormat="1" applyFont="1" applyFill="1" applyBorder="1" applyAlignment="1">
      <alignment horizontal="left" vertical="center"/>
    </xf>
    <xf numFmtId="43" fontId="0" fillId="7" borderId="1" xfId="0" applyNumberFormat="1" applyFill="1" applyBorder="1" applyAlignment="1">
      <alignment vertical="center"/>
    </xf>
    <xf numFmtId="43" fontId="0" fillId="7" borderId="1" xfId="0" applyNumberFormat="1" applyFill="1" applyBorder="1"/>
    <xf numFmtId="164" fontId="13" fillId="9" borderId="1" xfId="1" applyNumberFormat="1" applyFont="1" applyFill="1" applyBorder="1" applyAlignment="1">
      <alignment horizontal="left" vertical="center"/>
    </xf>
    <xf numFmtId="164" fontId="13" fillId="9" borderId="1" xfId="1" applyNumberFormat="1" applyFont="1" applyFill="1" applyBorder="1" applyAlignment="1">
      <alignment horizontal="center" vertical="center"/>
    </xf>
    <xf numFmtId="43" fontId="13" fillId="8" borderId="1" xfId="0" applyNumberFormat="1" applyFont="1" applyFill="1" applyBorder="1" applyAlignment="1">
      <alignment vertical="center"/>
    </xf>
    <xf numFmtId="0" fontId="0" fillId="8" borderId="0" xfId="0" applyFill="1"/>
    <xf numFmtId="43" fontId="0" fillId="8" borderId="1" xfId="0" applyNumberFormat="1" applyFill="1" applyBorder="1" applyAlignment="1">
      <alignment vertical="center"/>
    </xf>
    <xf numFmtId="43" fontId="0" fillId="8" borderId="1" xfId="0" applyNumberFormat="1" applyFill="1" applyBorder="1"/>
    <xf numFmtId="165" fontId="13" fillId="8" borderId="1" xfId="0" applyNumberFormat="1" applyFont="1" applyFill="1" applyBorder="1" applyAlignment="1">
      <alignment wrapText="1"/>
    </xf>
    <xf numFmtId="165" fontId="13" fillId="8" borderId="1" xfId="0" applyNumberFormat="1" applyFont="1" applyFill="1" applyBorder="1" applyAlignment="1">
      <alignment vertical="center"/>
    </xf>
    <xf numFmtId="165" fontId="13" fillId="8" borderId="1" xfId="0" applyNumberFormat="1" applyFont="1" applyFill="1" applyBorder="1"/>
    <xf numFmtId="165" fontId="13" fillId="7" borderId="1" xfId="1" applyNumberFormat="1" applyFont="1" applyFill="1" applyBorder="1" applyAlignment="1">
      <alignment vertical="center"/>
    </xf>
    <xf numFmtId="165" fontId="13" fillId="7" borderId="6" xfId="1" applyNumberFormat="1" applyFont="1" applyFill="1" applyBorder="1" applyAlignment="1">
      <alignment vertical="center"/>
    </xf>
    <xf numFmtId="165" fontId="13" fillId="7" borderId="6" xfId="1" applyNumberFormat="1" applyFont="1" applyFill="1" applyBorder="1" applyAlignment="1">
      <alignment horizontal="center" vertical="center"/>
    </xf>
    <xf numFmtId="165" fontId="13" fillId="7" borderId="1" xfId="1" applyNumberFormat="1" applyFont="1" applyFill="1" applyBorder="1" applyAlignment="1">
      <alignment horizontal="center" vertical="center"/>
    </xf>
    <xf numFmtId="165" fontId="13" fillId="7" borderId="1" xfId="0" applyNumberFormat="1" applyFont="1" applyFill="1" applyBorder="1"/>
    <xf numFmtId="165" fontId="13" fillId="7" borderId="6" xfId="0" applyNumberFormat="1" applyFont="1" applyFill="1" applyBorder="1"/>
    <xf numFmtId="165" fontId="13" fillId="7" borderId="6" xfId="0" applyNumberFormat="1" applyFont="1" applyFill="1" applyBorder="1" applyAlignment="1">
      <alignment vertical="center"/>
    </xf>
    <xf numFmtId="165" fontId="13" fillId="7" borderId="1" xfId="0" applyNumberFormat="1" applyFont="1" applyFill="1" applyBorder="1" applyAlignment="1">
      <alignment wrapText="1"/>
    </xf>
    <xf numFmtId="165" fontId="13" fillId="7" borderId="1" xfId="0" applyNumberFormat="1" applyFont="1" applyFill="1" applyBorder="1" applyAlignment="1">
      <alignment vertical="center"/>
    </xf>
    <xf numFmtId="165" fontId="17" fillId="7" borderId="1" xfId="0" applyNumberFormat="1" applyFont="1" applyFill="1" applyBorder="1"/>
    <xf numFmtId="165" fontId="7" fillId="7" borderId="1" xfId="0" applyNumberFormat="1" applyFont="1" applyFill="1" applyBorder="1"/>
    <xf numFmtId="165" fontId="8" fillId="7" borderId="1" xfId="0" applyNumberFormat="1" applyFont="1" applyFill="1" applyBorder="1"/>
    <xf numFmtId="165" fontId="0" fillId="7" borderId="1" xfId="0" applyNumberFormat="1" applyFill="1" applyBorder="1"/>
    <xf numFmtId="165" fontId="13" fillId="8" borderId="1" xfId="1" applyNumberFormat="1" applyFont="1" applyFill="1" applyBorder="1" applyAlignment="1">
      <alignment vertical="center"/>
    </xf>
    <xf numFmtId="165" fontId="13" fillId="8" borderId="1" xfId="1" applyNumberFormat="1" applyFont="1" applyFill="1" applyBorder="1" applyAlignment="1">
      <alignment horizontal="center" vertical="center"/>
    </xf>
    <xf numFmtId="165" fontId="13" fillId="8" borderId="6" xfId="1" applyNumberFormat="1" applyFont="1" applyFill="1" applyBorder="1" applyAlignment="1">
      <alignment horizontal="center" vertical="center"/>
    </xf>
    <xf numFmtId="165" fontId="0" fillId="8" borderId="1" xfId="0" applyNumberFormat="1" applyFill="1" applyBorder="1"/>
    <xf numFmtId="165" fontId="9" fillId="7" borderId="1" xfId="0" applyNumberFormat="1" applyFont="1" applyFill="1" applyBorder="1"/>
    <xf numFmtId="0" fontId="0" fillId="0" borderId="1" xfId="0" applyBorder="1"/>
    <xf numFmtId="43" fontId="19" fillId="0" borderId="0" xfId="0" applyNumberFormat="1" applyFont="1"/>
    <xf numFmtId="43" fontId="20" fillId="7" borderId="0" xfId="0" applyNumberFormat="1" applyFont="1" applyFill="1" applyAlignment="1">
      <alignment horizontal="center" vertical="center"/>
    </xf>
    <xf numFmtId="43" fontId="0" fillId="7" borderId="0" xfId="0" applyNumberFormat="1" applyFill="1"/>
    <xf numFmtId="0" fontId="13" fillId="0" borderId="1" xfId="0" applyFont="1" applyBorder="1" applyAlignment="1">
      <alignment horizontal="center" vertical="center"/>
    </xf>
    <xf numFmtId="164" fontId="13" fillId="10" borderId="1" xfId="1" applyNumberFormat="1" applyFont="1" applyFill="1" applyBorder="1" applyAlignment="1">
      <alignment horizontal="left" vertical="center"/>
    </xf>
    <xf numFmtId="165" fontId="13" fillId="11" borderId="1" xfId="1" applyNumberFormat="1" applyFont="1" applyFill="1" applyBorder="1" applyAlignment="1">
      <alignment horizontal="center" vertical="center"/>
    </xf>
    <xf numFmtId="164" fontId="13" fillId="0" borderId="6" xfId="1" applyNumberFormat="1" applyFont="1" applyFill="1" applyBorder="1" applyAlignment="1">
      <alignment horizontal="left" vertical="center"/>
    </xf>
    <xf numFmtId="165" fontId="0" fillId="0" borderId="1" xfId="1" applyNumberFormat="1" applyFont="1" applyBorder="1"/>
    <xf numFmtId="0" fontId="16" fillId="3" borderId="7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6" fillId="3" borderId="16" xfId="0" applyFont="1" applyFill="1" applyBorder="1" applyAlignment="1">
      <alignment horizontal="center"/>
    </xf>
    <xf numFmtId="0" fontId="16" fillId="3" borderId="16" xfId="0" applyFont="1" applyFill="1" applyBorder="1" applyAlignment="1">
      <alignment horizontal="center" vertical="center"/>
    </xf>
    <xf numFmtId="164" fontId="13" fillId="2" borderId="18" xfId="1" applyNumberFormat="1" applyFont="1" applyFill="1" applyBorder="1" applyAlignment="1">
      <alignment horizontal="center" vertical="center"/>
    </xf>
    <xf numFmtId="43" fontId="21" fillId="7" borderId="0" xfId="0" applyNumberFormat="1" applyFont="1" applyFill="1" applyAlignment="1">
      <alignment vertical="center"/>
    </xf>
    <xf numFmtId="166" fontId="0" fillId="7" borderId="0" xfId="0" applyNumberFormat="1" applyFill="1"/>
    <xf numFmtId="165" fontId="0" fillId="7" borderId="0" xfId="0" applyNumberFormat="1" applyFill="1"/>
    <xf numFmtId="165" fontId="17" fillId="7" borderId="6" xfId="0" applyNumberFormat="1" applyFont="1" applyFill="1" applyBorder="1" applyAlignment="1">
      <alignment vertical="center"/>
    </xf>
    <xf numFmtId="167" fontId="13" fillId="7" borderId="0" xfId="0" applyNumberFormat="1" applyFont="1" applyFill="1" applyAlignment="1">
      <alignment vertical="center"/>
    </xf>
    <xf numFmtId="165" fontId="17" fillId="7" borderId="1" xfId="0" applyNumberFormat="1" applyFont="1" applyFill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11" fillId="0" borderId="1" xfId="0" applyFont="1" applyBorder="1"/>
    <xf numFmtId="43" fontId="13" fillId="7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1" applyNumberFormat="1" applyFo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0" fillId="43" borderId="34" xfId="0" applyFont="1" applyFill="1" applyBorder="1" applyAlignment="1">
      <alignment horizontal="center" vertical="center" wrapText="1"/>
    </xf>
    <xf numFmtId="0" fontId="20" fillId="43" borderId="35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43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9" xfId="0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 wrapText="1"/>
    </xf>
    <xf numFmtId="0" fontId="0" fillId="7" borderId="0" xfId="0" applyFill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20" fillId="43" borderId="41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0" fillId="43" borderId="45" xfId="0" applyFont="1" applyFill="1" applyBorder="1" applyAlignment="1">
      <alignment horizontal="center" vertical="center" wrapText="1"/>
    </xf>
    <xf numFmtId="43" fontId="13" fillId="0" borderId="40" xfId="1" applyFont="1" applyFill="1" applyBorder="1" applyAlignment="1">
      <alignment horizontal="left" vertical="center" indent="1"/>
    </xf>
    <xf numFmtId="43" fontId="13" fillId="0" borderId="38" xfId="1" applyFont="1" applyFill="1" applyBorder="1" applyAlignment="1">
      <alignment horizontal="left" vertical="center" inden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left" vertical="center"/>
    </xf>
    <xf numFmtId="0" fontId="0" fillId="0" borderId="48" xfId="0" applyBorder="1" applyAlignment="1">
      <alignment horizontal="left" vertical="center" wrapText="1"/>
    </xf>
    <xf numFmtId="43" fontId="13" fillId="0" borderId="49" xfId="1" applyFont="1" applyFill="1" applyBorder="1" applyAlignment="1">
      <alignment horizontal="left" vertical="center" indent="1"/>
    </xf>
    <xf numFmtId="0" fontId="18" fillId="3" borderId="7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11" borderId="7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 wrapText="1"/>
    </xf>
    <xf numFmtId="0" fontId="16" fillId="3" borderId="15" xfId="0" applyFont="1" applyFill="1" applyBorder="1" applyAlignment="1">
      <alignment horizont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2" fillId="11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6" fillId="3" borderId="17" xfId="0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 wrapText="1"/>
    </xf>
    <xf numFmtId="0" fontId="16" fillId="3" borderId="10" xfId="0" applyFont="1" applyFill="1" applyBorder="1" applyAlignment="1">
      <alignment horizontal="center" vertical="center" wrapText="1"/>
    </xf>
    <xf numFmtId="0" fontId="41" fillId="43" borderId="43" xfId="0" applyFont="1" applyFill="1" applyBorder="1" applyAlignment="1">
      <alignment horizontal="center" vertical="center"/>
    </xf>
    <xf numFmtId="0" fontId="41" fillId="43" borderId="44" xfId="0" applyFont="1" applyFill="1" applyBorder="1" applyAlignment="1">
      <alignment horizontal="center" vertical="center"/>
    </xf>
    <xf numFmtId="0" fontId="41" fillId="43" borderId="36" xfId="0" applyFont="1" applyFill="1" applyBorder="1" applyAlignment="1">
      <alignment horizontal="center" vertical="center"/>
    </xf>
    <xf numFmtId="0" fontId="42" fillId="7" borderId="30" xfId="0" applyFont="1" applyFill="1" applyBorder="1" applyAlignment="1">
      <alignment horizontal="center" vertical="center"/>
    </xf>
    <xf numFmtId="0" fontId="42" fillId="7" borderId="31" xfId="0" applyFont="1" applyFill="1" applyBorder="1" applyAlignment="1">
      <alignment horizontal="center" vertical="center"/>
    </xf>
    <xf numFmtId="0" fontId="42" fillId="7" borderId="32" xfId="0" applyFont="1" applyFill="1" applyBorder="1" applyAlignment="1">
      <alignment horizontal="center" vertical="center"/>
    </xf>
    <xf numFmtId="0" fontId="42" fillId="7" borderId="29" xfId="0" applyFont="1" applyFill="1" applyBorder="1" applyAlignment="1">
      <alignment horizontal="center" vertical="center"/>
    </xf>
    <xf numFmtId="0" fontId="42" fillId="7" borderId="19" xfId="0" applyFont="1" applyFill="1" applyBorder="1" applyAlignment="1">
      <alignment horizontal="center" vertical="center"/>
    </xf>
    <xf numFmtId="0" fontId="42" fillId="7" borderId="33" xfId="0" applyFont="1" applyFill="1" applyBorder="1" applyAlignment="1">
      <alignment horizontal="center" vertical="center"/>
    </xf>
  </cellXfs>
  <cellStyles count="64">
    <cellStyle name="20% - Accent1 2" xfId="25" xr:uid="{A5F70013-E28F-4003-98E9-58B3BE5938CD}"/>
    <cellStyle name="20% - Accent2 2" xfId="29" xr:uid="{C566BF52-79B4-45F0-860B-5DDE28156BC7}"/>
    <cellStyle name="20% - Accent3 2" xfId="33" xr:uid="{32E15D29-6080-460E-83DA-1E62FF6F6DFA}"/>
    <cellStyle name="20% - Accent4 2" xfId="37" xr:uid="{9ABBE021-6376-49B8-B49F-02EB22DE6A2F}"/>
    <cellStyle name="20% - Accent5 2" xfId="41" xr:uid="{E7CABFF6-801B-4C4C-8820-B991B9D6B50E}"/>
    <cellStyle name="20% - Accent6 2" xfId="45" xr:uid="{0AE601DF-AE7E-4CCC-BEBF-F8B93E269F42}"/>
    <cellStyle name="40% - Accent1 2" xfId="26" xr:uid="{ACB13BBF-5DC7-4D54-89A9-B00840B83907}"/>
    <cellStyle name="40% - Accent2 2" xfId="30" xr:uid="{8595C01D-564F-47ED-B9E0-C47760D494D5}"/>
    <cellStyle name="40% - Accent3 2" xfId="34" xr:uid="{BBA7FE20-2BD3-4A9C-9A36-E0375480F739}"/>
    <cellStyle name="40% - Accent4 2" xfId="38" xr:uid="{E4AD6EC0-B555-4F1B-A73C-D588302E60B8}"/>
    <cellStyle name="40% - Accent5 2" xfId="42" xr:uid="{BF3639A7-25A5-475C-B770-B4CFB92040CA}"/>
    <cellStyle name="40% - Accent6 2" xfId="46" xr:uid="{06992BA5-9BDE-4CE8-85A9-076441F1444A}"/>
    <cellStyle name="60% - Accent1 2" xfId="27" xr:uid="{B6F76FA5-F707-4CF3-B782-A60E75FEB411}"/>
    <cellStyle name="60% - Accent2 2" xfId="31" xr:uid="{A1FEEE8B-90CE-4ED4-90E2-9F92A0CE98A2}"/>
    <cellStyle name="60% - Accent3 2" xfId="35" xr:uid="{29396BB8-1600-479D-840A-D7CBB304C7EB}"/>
    <cellStyle name="60% - Accent4 2" xfId="39" xr:uid="{9AC9EA42-D89A-4580-BFCB-05A5CDA51628}"/>
    <cellStyle name="60% - Accent5 2" xfId="43" xr:uid="{FC4877B8-8BDF-4DAF-8EAE-DF1CF2EEE1AF}"/>
    <cellStyle name="60% - Accent6 2" xfId="47" xr:uid="{7862BBBC-8C4A-4D85-BDD8-11BCED957910}"/>
    <cellStyle name="Accent1 2" xfId="24" xr:uid="{23731E38-BC4A-43FA-A18A-27406EBBB12F}"/>
    <cellStyle name="Accent2 2" xfId="28" xr:uid="{CEDCCC0B-66A9-4B36-BC9A-392D8B15F323}"/>
    <cellStyle name="Accent3 2" xfId="32" xr:uid="{11CEED33-677D-4A3F-B284-8B71A17F1C3A}"/>
    <cellStyle name="Accent4 2" xfId="36" xr:uid="{FBAE789E-0F9B-415E-BB38-0A01D0CE69B1}"/>
    <cellStyle name="Accent5 2" xfId="40" xr:uid="{7DA48215-C05C-4024-8B4F-076478066447}"/>
    <cellStyle name="Accent6 2" xfId="44" xr:uid="{A90D1CC5-50A4-4550-9268-DBAF58656DBC}"/>
    <cellStyle name="Bad 2" xfId="13" xr:uid="{1063E690-5557-4EC5-A2D3-FF6EDC80A683}"/>
    <cellStyle name="Calculation 2" xfId="17" xr:uid="{97A11A20-DC92-49AF-9BF2-E508BC0C7E82}"/>
    <cellStyle name="Check Cell 2" xfId="19" xr:uid="{E3F048BD-32E9-4DE4-8F8F-C5BB36484D50}"/>
    <cellStyle name="Comma" xfId="1" builtinId="3"/>
    <cellStyle name="Comma 2" xfId="3" xr:uid="{1263554B-AE31-4511-A19B-E4FBE49059FB}"/>
    <cellStyle name="Comma 2 2" xfId="53" xr:uid="{5278E43A-7492-42B1-BB21-BE25445F5BCC}"/>
    <cellStyle name="Comma 2 3" xfId="54" xr:uid="{E331FD2E-761F-464A-8D56-08BB9E448968}"/>
    <cellStyle name="Comma 2 4" xfId="52" xr:uid="{7489ABD6-A21B-4D39-BF46-A284B077689E}"/>
    <cellStyle name="Comma 2 5" xfId="62" xr:uid="{EE16FB8B-0BF9-4815-A735-2EA6DBEEB5C3}"/>
    <cellStyle name="Comma 3" xfId="55" xr:uid="{87514DC8-C2CE-475A-B4A9-02861A3B0F05}"/>
    <cellStyle name="Comma 4" xfId="56" xr:uid="{0FA9C8C1-76BC-4C38-8E79-A529E6CAFF2A}"/>
    <cellStyle name="Comma 5" xfId="61" xr:uid="{98913EEE-1789-4C17-8BC7-A68E5EF3D02D}"/>
    <cellStyle name="Explanatory Text 2" xfId="22" xr:uid="{9CC7843D-9B7A-4679-9568-E015BFF9015A}"/>
    <cellStyle name="Good 2" xfId="12" xr:uid="{76978D61-7838-43C5-A20A-604336BE9053}"/>
    <cellStyle name="Heading 1 2" xfId="8" xr:uid="{F82B2D95-C2F8-49FF-A1CC-0A461F2B90D7}"/>
    <cellStyle name="Heading 2 2" xfId="9" xr:uid="{FE539C62-ED35-4D2E-97AB-002DE7DAF2D8}"/>
    <cellStyle name="Heading 3 2" xfId="10" xr:uid="{7AE2C820-6C63-4818-AC9E-64CC125E445F}"/>
    <cellStyle name="Heading 4 2" xfId="11" xr:uid="{F906AED5-E084-4905-9AAC-8BE591AA8F3E}"/>
    <cellStyle name="Input 2" xfId="15" xr:uid="{29BFC11A-2C03-413F-B23D-0A336E43ACE4}"/>
    <cellStyle name="Linked Cell 2" xfId="18" xr:uid="{EC202FFB-DB74-4FC7-A157-9ACFE713070C}"/>
    <cellStyle name="Neutral 2" xfId="14" xr:uid="{7A336376-08CA-4A09-A4B7-21AD8EAD4280}"/>
    <cellStyle name="Normal" xfId="0" builtinId="0"/>
    <cellStyle name="Normal 2" xfId="2" xr:uid="{8B908E95-42F7-4FC8-9647-AF3F4406F33A}"/>
    <cellStyle name="Normal 2 2" xfId="6" xr:uid="{2BEF322A-C92C-46B1-AC0B-BE4F08312257}"/>
    <cellStyle name="Normal 2 2 2" xfId="63" xr:uid="{3836D4B0-6648-4324-9A36-590E78EBFA50}"/>
    <cellStyle name="Normal 2 3" xfId="57" xr:uid="{EB766068-A4B5-44F7-8847-08AD9EAC0D4B}"/>
    <cellStyle name="Normal 3" xfId="4" xr:uid="{86008F77-B508-4E6B-B38B-FF8168788AB5}"/>
    <cellStyle name="Normal 4" xfId="5" xr:uid="{DB81ACFB-130B-4D7D-8141-583BD6438A14}"/>
    <cellStyle name="Normal 5" xfId="48" xr:uid="{DAA494AB-7D9D-4CCA-B608-DF59CBCED784}"/>
    <cellStyle name="Normal 6" xfId="49" xr:uid="{52DB6876-7219-4037-B884-B3998262C145}"/>
    <cellStyle name="Normal 7" xfId="50" xr:uid="{C505B7EC-428F-4A3B-B7DE-0A13582F7F4C}"/>
    <cellStyle name="Normal 8" xfId="51" xr:uid="{E6AEF97A-24FA-4898-9E15-CF7EE538EABC}"/>
    <cellStyle name="Normal 9" xfId="60" xr:uid="{A3E0A48A-366C-4F25-86E9-3EBD552636AF}"/>
    <cellStyle name="Note 2" xfId="21" xr:uid="{CB593F74-7117-4DE4-A97A-5BD329451A40}"/>
    <cellStyle name="Output 2" xfId="16" xr:uid="{5BE0A400-DF8B-4A51-8719-6620FFA4E002}"/>
    <cellStyle name="Percent 2" xfId="58" xr:uid="{F26FCC6C-A4F4-41A6-8314-AF78660191A2}"/>
    <cellStyle name="Percent 3" xfId="59" xr:uid="{FE5E99D3-4203-4F2F-9953-821A8A35DAA0}"/>
    <cellStyle name="Title 2" xfId="7" xr:uid="{25FEF863-5A0E-418E-B1EF-1367890135C5}"/>
    <cellStyle name="Total 2" xfId="23" xr:uid="{31164CDB-6D97-43C8-BBB0-528527C1C618}"/>
    <cellStyle name="Warning Text 2" xfId="20" xr:uid="{16A47EE7-1388-40B0-A1A2-3F7303115E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L58"/>
  <sheetViews>
    <sheetView showGridLines="0" view="pageBreakPreview" zoomScale="80" zoomScaleNormal="100" zoomScaleSheetLayoutView="80" workbookViewId="0">
      <pane ySplit="8" topLeftCell="A37" activePane="bottomLeft" state="frozen"/>
      <selection activeCell="C46" sqref="C46"/>
      <selection pane="bottomLeft" activeCell="C46" sqref="C46"/>
    </sheetView>
  </sheetViews>
  <sheetFormatPr baseColWidth="10" defaultColWidth="8.83203125" defaultRowHeight="13" x14ac:dyDescent="0.15"/>
  <cols>
    <col min="1" max="1" width="8" customWidth="1"/>
    <col min="2" max="2" width="12.6640625" customWidth="1"/>
    <col min="3" max="3" width="29.33203125" bestFit="1" customWidth="1"/>
    <col min="4" max="4" width="20.5" bestFit="1" customWidth="1"/>
    <col min="5" max="5" width="9.1640625" customWidth="1"/>
    <col min="6" max="6" width="12.5" customWidth="1"/>
    <col min="7" max="7" width="16.6640625" customWidth="1"/>
    <col min="8" max="8" width="18.5" customWidth="1"/>
    <col min="9" max="9" width="9.33203125" customWidth="1"/>
    <col min="10" max="10" width="21.1640625" customWidth="1"/>
    <col min="11" max="11" width="14.1640625" customWidth="1"/>
    <col min="12" max="12" width="15" customWidth="1"/>
    <col min="13" max="13" width="17" customWidth="1"/>
    <col min="14" max="14" width="16.33203125" customWidth="1"/>
    <col min="15" max="15" width="16.1640625" customWidth="1"/>
    <col min="16" max="16" width="11.5" customWidth="1"/>
    <col min="17" max="17" width="17.5" customWidth="1"/>
    <col min="18" max="18" width="12" customWidth="1"/>
    <col min="19" max="19" width="13.5" customWidth="1"/>
    <col min="20" max="20" width="14.33203125" customWidth="1"/>
    <col min="21" max="21" width="9.33203125" customWidth="1"/>
    <col min="22" max="22" width="9.83203125" customWidth="1"/>
    <col min="23" max="23" width="10.6640625" customWidth="1"/>
    <col min="24" max="24" width="14.6640625" customWidth="1"/>
    <col min="25" max="26" width="10.6640625" bestFit="1" customWidth="1"/>
    <col min="27" max="27" width="9.1640625" customWidth="1"/>
    <col min="28" max="29" width="13.1640625" customWidth="1"/>
    <col min="30" max="30" width="12.83203125" customWidth="1"/>
    <col min="31" max="31" width="10.6640625" bestFit="1" customWidth="1"/>
    <col min="32" max="32" width="12.6640625" customWidth="1"/>
    <col min="33" max="33" width="12.6640625" style="22" customWidth="1"/>
    <col min="34" max="34" width="18.5" style="22" customWidth="1"/>
    <col min="35" max="35" width="10.1640625" bestFit="1" customWidth="1"/>
    <col min="36" max="36" width="11" bestFit="1" customWidth="1"/>
    <col min="37" max="37" width="12.33203125" bestFit="1" customWidth="1"/>
    <col min="38" max="38" width="10.5" bestFit="1" customWidth="1"/>
  </cols>
  <sheetData>
    <row r="1" spans="1:38" x14ac:dyDescent="0.15">
      <c r="A1" s="1" t="s">
        <v>0</v>
      </c>
      <c r="B1" s="1"/>
      <c r="D1" s="42"/>
      <c r="E1" s="22"/>
      <c r="F1" s="22"/>
      <c r="G1" s="43"/>
    </row>
    <row r="2" spans="1:38" x14ac:dyDescent="0.15">
      <c r="A2" s="1" t="s">
        <v>139</v>
      </c>
      <c r="B2" s="1"/>
      <c r="D2" s="22"/>
      <c r="E2" s="22"/>
      <c r="F2" s="22"/>
      <c r="G2" s="22"/>
    </row>
    <row r="3" spans="1:38" x14ac:dyDescent="0.15">
      <c r="A3" s="1" t="s">
        <v>138</v>
      </c>
      <c r="B3" s="1"/>
      <c r="D3" s="22"/>
      <c r="E3" s="22"/>
      <c r="F3" s="22"/>
      <c r="G3" s="22"/>
    </row>
    <row r="4" spans="1:38" x14ac:dyDescent="0.15">
      <c r="A4" s="1"/>
      <c r="B4" s="1"/>
    </row>
    <row r="5" spans="1:38" ht="20" customHeight="1" x14ac:dyDescent="0.15">
      <c r="A5" s="7" t="s">
        <v>89</v>
      </c>
      <c r="B5" s="21"/>
      <c r="H5" s="29"/>
      <c r="R5" s="125"/>
      <c r="S5" s="126"/>
      <c r="AH5" s="78"/>
      <c r="AI5" s="29"/>
    </row>
    <row r="6" spans="1:38" s="22" customFormat="1" ht="5" customHeight="1" x14ac:dyDescent="0.15">
      <c r="A6" s="21"/>
      <c r="B6" s="21"/>
      <c r="R6" s="23"/>
      <c r="S6" s="23"/>
    </row>
    <row r="7" spans="1:38" s="24" customFormat="1" ht="15" customHeight="1" x14ac:dyDescent="0.2">
      <c r="A7" s="122" t="s">
        <v>3</v>
      </c>
      <c r="B7" s="122" t="s">
        <v>110</v>
      </c>
      <c r="C7" s="122" t="s">
        <v>4</v>
      </c>
      <c r="D7" s="122" t="s">
        <v>5</v>
      </c>
      <c r="E7" s="122" t="s">
        <v>6</v>
      </c>
      <c r="F7" s="122" t="s">
        <v>7</v>
      </c>
      <c r="G7" s="122" t="s">
        <v>73</v>
      </c>
      <c r="H7" s="122" t="s">
        <v>77</v>
      </c>
      <c r="I7" s="122" t="s">
        <v>74</v>
      </c>
      <c r="J7" s="122" t="s">
        <v>78</v>
      </c>
      <c r="K7" s="122" t="s">
        <v>75</v>
      </c>
      <c r="L7" s="122" t="s">
        <v>76</v>
      </c>
      <c r="M7" s="122" t="s">
        <v>79</v>
      </c>
      <c r="N7" s="122" t="s">
        <v>80</v>
      </c>
      <c r="O7" s="127" t="s">
        <v>81</v>
      </c>
      <c r="P7" s="122" t="s">
        <v>82</v>
      </c>
      <c r="Q7" s="122" t="s">
        <v>84</v>
      </c>
      <c r="R7" s="124" t="s">
        <v>92</v>
      </c>
      <c r="S7" s="124"/>
      <c r="T7" s="124" t="s">
        <v>93</v>
      </c>
      <c r="U7" s="133" t="s">
        <v>96</v>
      </c>
      <c r="V7" s="133"/>
      <c r="W7" s="133"/>
      <c r="X7" s="134" t="s">
        <v>100</v>
      </c>
      <c r="Y7" s="133" t="s">
        <v>107</v>
      </c>
      <c r="Z7" s="133"/>
      <c r="AA7" s="124" t="s">
        <v>103</v>
      </c>
      <c r="AB7" s="129" t="s">
        <v>104</v>
      </c>
      <c r="AC7" s="129" t="s">
        <v>108</v>
      </c>
      <c r="AD7" s="124" t="s">
        <v>105</v>
      </c>
      <c r="AE7" s="124"/>
      <c r="AF7" s="124" t="s">
        <v>106</v>
      </c>
      <c r="AG7" s="33"/>
      <c r="AH7" s="77"/>
      <c r="AI7" s="76"/>
      <c r="AJ7" s="76"/>
    </row>
    <row r="8" spans="1:38" s="14" customFormat="1" ht="20" customHeight="1" x14ac:dyDescent="0.15">
      <c r="A8" s="123"/>
      <c r="B8" s="128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31" t="s">
        <v>94</v>
      </c>
      <c r="S8" s="31" t="s">
        <v>95</v>
      </c>
      <c r="T8" s="131"/>
      <c r="U8" s="32" t="s">
        <v>97</v>
      </c>
      <c r="V8" s="32" t="s">
        <v>98</v>
      </c>
      <c r="W8" s="32" t="s">
        <v>99</v>
      </c>
      <c r="X8" s="135"/>
      <c r="Y8" s="31" t="s">
        <v>101</v>
      </c>
      <c r="Z8" s="31" t="s">
        <v>102</v>
      </c>
      <c r="AA8" s="131"/>
      <c r="AB8" s="130"/>
      <c r="AC8" s="132"/>
      <c r="AD8" s="31" t="s">
        <v>101</v>
      </c>
      <c r="AE8" s="31" t="s">
        <v>102</v>
      </c>
      <c r="AF8" s="131"/>
      <c r="AG8" s="33"/>
      <c r="AH8" s="35" t="s">
        <v>130</v>
      </c>
      <c r="AI8" s="36" t="s">
        <v>129</v>
      </c>
      <c r="AJ8" s="36" t="s">
        <v>131</v>
      </c>
      <c r="AK8" s="36" t="s">
        <v>106</v>
      </c>
      <c r="AL8" s="36" t="s">
        <v>132</v>
      </c>
    </row>
    <row r="9" spans="1:38" s="22" customFormat="1" ht="15" customHeight="1" x14ac:dyDescent="0.2">
      <c r="A9" s="44">
        <v>1</v>
      </c>
      <c r="B9" s="44"/>
      <c r="C9" s="45" t="s">
        <v>137</v>
      </c>
      <c r="D9" s="25" t="s">
        <v>9</v>
      </c>
      <c r="E9" s="26" t="s">
        <v>10</v>
      </c>
      <c r="F9" s="57">
        <v>74.56</v>
      </c>
      <c r="G9" s="58">
        <v>0</v>
      </c>
      <c r="H9" s="58">
        <f>F9+G9</f>
        <v>74.56</v>
      </c>
      <c r="I9" s="57">
        <v>3.59</v>
      </c>
      <c r="J9" s="59">
        <f>H9+I9</f>
        <v>78.150000000000006</v>
      </c>
      <c r="K9" s="58">
        <v>2.81</v>
      </c>
      <c r="L9" s="58">
        <v>3.7</v>
      </c>
      <c r="M9" s="58">
        <f>J9+K9+L9</f>
        <v>84.660000000000011</v>
      </c>
      <c r="N9" s="60">
        <v>15</v>
      </c>
      <c r="O9" s="59">
        <f>N9+M9</f>
        <v>99.660000000000011</v>
      </c>
      <c r="P9" s="58">
        <f>O9*0.17</f>
        <v>16.942200000000003</v>
      </c>
      <c r="Q9" s="59">
        <f>O9+P9</f>
        <v>116.60220000000001</v>
      </c>
      <c r="R9" s="58">
        <f>$L$9*0.12</f>
        <v>0.44400000000000001</v>
      </c>
      <c r="S9" s="58">
        <f>$L$9*0.24</f>
        <v>0.88800000000000001</v>
      </c>
      <c r="T9" s="61">
        <f>L9*0.09</f>
        <v>0.33300000000000002</v>
      </c>
      <c r="U9" s="62"/>
      <c r="V9" s="62">
        <v>0.03</v>
      </c>
      <c r="W9" s="62"/>
      <c r="X9" s="58">
        <f>(T9+U9+V9+W9)*0.16</f>
        <v>5.808E-2</v>
      </c>
      <c r="Y9" s="63">
        <f>Q9+R9+T9+U9+V9+W9+X9-L9</f>
        <v>113.76728000000001</v>
      </c>
      <c r="Z9" s="63">
        <f>Q9+S9+T9+U9+V9+W9+X9-L9</f>
        <v>114.21128000000002</v>
      </c>
      <c r="AA9" s="64">
        <f>418.45/1000</f>
        <v>0.41844999999999999</v>
      </c>
      <c r="AB9" s="63">
        <f>AA9*0.17</f>
        <v>7.1136500000000005E-2</v>
      </c>
      <c r="AC9" s="63">
        <v>0</v>
      </c>
      <c r="AD9" s="63">
        <f>Y9+AA9+AB9</f>
        <v>114.2568665</v>
      </c>
      <c r="AE9" s="63">
        <f>Z9+AA9+AB9</f>
        <v>114.70086650000002</v>
      </c>
      <c r="AF9" s="63">
        <f>Q9+AA9+AB9</f>
        <v>117.09178650000001</v>
      </c>
      <c r="AG9" s="34"/>
      <c r="AH9" s="37">
        <f>K9+T9+U9+V9+W9</f>
        <v>3.173</v>
      </c>
      <c r="AI9" s="46">
        <f>AF9-AD9</f>
        <v>2.834920000000011</v>
      </c>
      <c r="AJ9" s="47">
        <f>X9+V9+T9+R9</f>
        <v>0.86508000000000007</v>
      </c>
      <c r="AK9" s="47">
        <f>AD9+AI9</f>
        <v>117.09178650000001</v>
      </c>
      <c r="AL9" s="47">
        <f>AK9-AF9</f>
        <v>0</v>
      </c>
    </row>
    <row r="10" spans="1:38" s="22" customFormat="1" ht="15" hidden="1" customHeight="1" x14ac:dyDescent="0.2">
      <c r="A10" s="79">
        <v>2</v>
      </c>
      <c r="B10" s="3" t="s">
        <v>111</v>
      </c>
      <c r="C10" s="3" t="s">
        <v>11</v>
      </c>
      <c r="D10" s="41" t="s">
        <v>12</v>
      </c>
      <c r="E10" s="12" t="s">
        <v>13</v>
      </c>
      <c r="F10" s="57">
        <v>74.56</v>
      </c>
      <c r="G10" s="57">
        <v>0</v>
      </c>
      <c r="H10" s="57">
        <f t="shared" ref="H10:H53" si="0">F10+G10</f>
        <v>74.56</v>
      </c>
      <c r="I10" s="57">
        <v>3.59</v>
      </c>
      <c r="J10" s="60">
        <f t="shared" ref="J10:J53" si="1">H10+I10</f>
        <v>78.150000000000006</v>
      </c>
      <c r="K10" s="57">
        <v>2.81</v>
      </c>
      <c r="L10" s="57">
        <v>3.7</v>
      </c>
      <c r="M10" s="57">
        <f t="shared" ref="M10:M53" si="2">J10+K10+L10</f>
        <v>84.660000000000011</v>
      </c>
      <c r="N10" s="60">
        <v>15</v>
      </c>
      <c r="O10" s="81">
        <f t="shared" ref="O10:O53" si="3">N10+M10</f>
        <v>99.660000000000011</v>
      </c>
      <c r="P10" s="57">
        <f t="shared" ref="P10:P53" si="4">O10*0.17</f>
        <v>16.942200000000003</v>
      </c>
      <c r="Q10" s="59">
        <f t="shared" ref="Q10:Q53" si="5">O10+P10</f>
        <v>116.60220000000001</v>
      </c>
      <c r="R10" s="57">
        <f t="shared" ref="R10:R56" si="6">$L$9*0.12</f>
        <v>0.44400000000000001</v>
      </c>
      <c r="S10" s="57">
        <f t="shared" ref="S10:S56" si="7">$L$9*0.24</f>
        <v>0.88800000000000001</v>
      </c>
      <c r="T10" s="61">
        <f>L10*0.05</f>
        <v>0.18500000000000003</v>
      </c>
      <c r="U10" s="61"/>
      <c r="V10" s="61"/>
      <c r="W10" s="61"/>
      <c r="X10" s="57">
        <f t="shared" ref="X10:X53" si="8">(T10+U10+V10+W10)*0.16</f>
        <v>2.9600000000000005E-2</v>
      </c>
      <c r="Y10" s="63">
        <f t="shared" ref="Y10:Y53" si="9">Q10+R10+T10+U10+V10+W10+X10-L10</f>
        <v>113.56080000000001</v>
      </c>
      <c r="Z10" s="63">
        <f t="shared" ref="Z10:Z53" si="10">Q10+S10+T10+U10+V10+W10+X10-L10</f>
        <v>114.00480000000002</v>
      </c>
      <c r="AA10" s="64">
        <f t="shared" ref="AA10:AA11" si="11">418.45/1000</f>
        <v>0.41844999999999999</v>
      </c>
      <c r="AB10" s="65">
        <f t="shared" ref="AB10:AB53" si="12">AA10*0.17</f>
        <v>7.1136500000000005E-2</v>
      </c>
      <c r="AC10" s="63">
        <v>0</v>
      </c>
      <c r="AD10" s="63">
        <f t="shared" ref="AD10:AD52" si="13">Y10+AA10+AB10</f>
        <v>114.0503865</v>
      </c>
      <c r="AE10" s="63">
        <f t="shared" ref="AE10:AE52" si="14">Z10+AA10+AB10</f>
        <v>114.49438650000002</v>
      </c>
      <c r="AF10" s="65">
        <f t="shared" ref="AF10:AF52" si="15">Q10+AA10+AB10</f>
        <v>117.09178650000001</v>
      </c>
      <c r="AG10" s="34"/>
      <c r="AH10" s="37">
        <f t="shared" ref="AH10:AH48" si="16">K10+T10+U10+V10+W10</f>
        <v>2.9950000000000001</v>
      </c>
      <c r="AI10" s="46">
        <f t="shared" ref="AI10:AI48" si="17">AF10-AD10</f>
        <v>3.0414000000000101</v>
      </c>
      <c r="AJ10" s="47">
        <f t="shared" ref="AJ10:AJ48" si="18">X10+V10+T10+R10</f>
        <v>0.65860000000000007</v>
      </c>
      <c r="AK10" s="47">
        <f t="shared" ref="AK10:AK48" si="19">AD10+AI10</f>
        <v>117.09178650000001</v>
      </c>
      <c r="AL10" s="47">
        <f t="shared" ref="AL10:AL51" si="20">AK10-AF10</f>
        <v>0</v>
      </c>
    </row>
    <row r="11" spans="1:38" s="22" customFormat="1" ht="15" hidden="1" customHeight="1" x14ac:dyDescent="0.2">
      <c r="A11" s="79">
        <f>A10+1</f>
        <v>3</v>
      </c>
      <c r="B11" s="3" t="s">
        <v>124</v>
      </c>
      <c r="C11" s="3" t="s">
        <v>125</v>
      </c>
      <c r="D11" s="41" t="s">
        <v>15</v>
      </c>
      <c r="E11" s="12" t="s">
        <v>16</v>
      </c>
      <c r="F11" s="57">
        <v>74.56</v>
      </c>
      <c r="G11" s="57">
        <v>0</v>
      </c>
      <c r="H11" s="57">
        <f t="shared" si="0"/>
        <v>74.56</v>
      </c>
      <c r="I11" s="57">
        <v>3.59</v>
      </c>
      <c r="J11" s="60">
        <f t="shared" si="1"/>
        <v>78.150000000000006</v>
      </c>
      <c r="K11" s="57">
        <v>2.81</v>
      </c>
      <c r="L11" s="57">
        <v>3.7</v>
      </c>
      <c r="M11" s="57">
        <f t="shared" si="2"/>
        <v>84.660000000000011</v>
      </c>
      <c r="N11" s="60">
        <v>15</v>
      </c>
      <c r="O11" s="81">
        <f t="shared" si="3"/>
        <v>99.660000000000011</v>
      </c>
      <c r="P11" s="57">
        <f t="shared" si="4"/>
        <v>16.942200000000003</v>
      </c>
      <c r="Q11" s="59">
        <f t="shared" si="5"/>
        <v>116.60220000000001</v>
      </c>
      <c r="R11" s="57">
        <f t="shared" si="6"/>
        <v>0.44400000000000001</v>
      </c>
      <c r="S11" s="57">
        <f t="shared" si="7"/>
        <v>0.88800000000000001</v>
      </c>
      <c r="T11" s="61">
        <f>L11*0.05</f>
        <v>0.18500000000000003</v>
      </c>
      <c r="U11" s="61"/>
      <c r="V11" s="61"/>
      <c r="W11" s="61"/>
      <c r="X11" s="57">
        <f t="shared" si="8"/>
        <v>2.9600000000000005E-2</v>
      </c>
      <c r="Y11" s="63">
        <f t="shared" si="9"/>
        <v>113.56080000000001</v>
      </c>
      <c r="Z11" s="63">
        <f t="shared" si="10"/>
        <v>114.00480000000002</v>
      </c>
      <c r="AA11" s="64">
        <f t="shared" si="11"/>
        <v>0.41844999999999999</v>
      </c>
      <c r="AB11" s="65">
        <f t="shared" si="12"/>
        <v>7.1136500000000005E-2</v>
      </c>
      <c r="AC11" s="63">
        <v>0</v>
      </c>
      <c r="AD11" s="63">
        <f t="shared" si="13"/>
        <v>114.0503865</v>
      </c>
      <c r="AE11" s="63">
        <f t="shared" si="14"/>
        <v>114.49438650000002</v>
      </c>
      <c r="AF11" s="65">
        <f t="shared" si="15"/>
        <v>117.09178650000001</v>
      </c>
      <c r="AG11" s="34"/>
      <c r="AH11" s="37">
        <f t="shared" si="16"/>
        <v>2.9950000000000001</v>
      </c>
      <c r="AI11" s="46">
        <f t="shared" si="17"/>
        <v>3.0414000000000101</v>
      </c>
      <c r="AJ11" s="47">
        <f t="shared" si="18"/>
        <v>0.65860000000000007</v>
      </c>
      <c r="AK11" s="47">
        <f t="shared" si="19"/>
        <v>117.09178650000001</v>
      </c>
      <c r="AL11" s="47">
        <f t="shared" si="20"/>
        <v>0</v>
      </c>
    </row>
    <row r="12" spans="1:38" s="22" customFormat="1" ht="15" hidden="1" customHeight="1" x14ac:dyDescent="0.2">
      <c r="A12" s="79">
        <f t="shared" ref="A12:A56" si="21">A11+1</f>
        <v>4</v>
      </c>
      <c r="B12" s="3" t="s">
        <v>112</v>
      </c>
      <c r="C12" s="3" t="s">
        <v>146</v>
      </c>
      <c r="D12" s="41" t="s">
        <v>18</v>
      </c>
      <c r="E12" s="12" t="s">
        <v>16</v>
      </c>
      <c r="F12" s="57">
        <v>74.56</v>
      </c>
      <c r="G12" s="57">
        <v>0</v>
      </c>
      <c r="H12" s="57">
        <f t="shared" si="0"/>
        <v>74.56</v>
      </c>
      <c r="I12" s="57">
        <v>3.59</v>
      </c>
      <c r="J12" s="60">
        <f t="shared" si="1"/>
        <v>78.150000000000006</v>
      </c>
      <c r="K12" s="57">
        <v>2.81</v>
      </c>
      <c r="L12" s="57">
        <v>3.7</v>
      </c>
      <c r="M12" s="57">
        <f t="shared" si="2"/>
        <v>84.660000000000011</v>
      </c>
      <c r="N12" s="60">
        <v>15</v>
      </c>
      <c r="O12" s="81">
        <f t="shared" si="3"/>
        <v>99.660000000000011</v>
      </c>
      <c r="P12" s="57">
        <f t="shared" si="4"/>
        <v>16.942200000000003</v>
      </c>
      <c r="Q12" s="59">
        <f t="shared" si="5"/>
        <v>116.60220000000001</v>
      </c>
      <c r="R12" s="57">
        <f t="shared" si="6"/>
        <v>0.44400000000000001</v>
      </c>
      <c r="S12" s="57">
        <f t="shared" si="7"/>
        <v>0.88800000000000001</v>
      </c>
      <c r="T12" s="61">
        <f>L12*0.05</f>
        <v>0.18500000000000003</v>
      </c>
      <c r="U12" s="61"/>
      <c r="V12" s="61"/>
      <c r="W12" s="61"/>
      <c r="X12" s="57">
        <f t="shared" si="8"/>
        <v>2.9600000000000005E-2</v>
      </c>
      <c r="Y12" s="63">
        <f t="shared" si="9"/>
        <v>113.56080000000001</v>
      </c>
      <c r="Z12" s="63">
        <f t="shared" si="10"/>
        <v>114.00480000000002</v>
      </c>
      <c r="AA12" s="64">
        <f>186*3.0671/1000</f>
        <v>0.5704806</v>
      </c>
      <c r="AB12" s="65">
        <f t="shared" si="12"/>
        <v>9.6981702000000003E-2</v>
      </c>
      <c r="AC12" s="63">
        <v>0</v>
      </c>
      <c r="AD12" s="63">
        <f t="shared" si="13"/>
        <v>114.228262302</v>
      </c>
      <c r="AE12" s="63">
        <f t="shared" si="14"/>
        <v>114.67226230200001</v>
      </c>
      <c r="AF12" s="65">
        <f t="shared" si="15"/>
        <v>117.269662302</v>
      </c>
      <c r="AG12" s="34"/>
      <c r="AH12" s="37">
        <f t="shared" si="16"/>
        <v>2.9950000000000001</v>
      </c>
      <c r="AI12" s="46">
        <f t="shared" si="17"/>
        <v>3.0413999999999959</v>
      </c>
      <c r="AJ12" s="47">
        <f t="shared" si="18"/>
        <v>0.65860000000000007</v>
      </c>
      <c r="AK12" s="47">
        <f t="shared" si="19"/>
        <v>117.269662302</v>
      </c>
      <c r="AL12" s="47">
        <f t="shared" si="20"/>
        <v>0</v>
      </c>
    </row>
    <row r="13" spans="1:38" s="22" customFormat="1" ht="15" hidden="1" customHeight="1" x14ac:dyDescent="0.2">
      <c r="A13" s="79">
        <f t="shared" si="21"/>
        <v>5</v>
      </c>
      <c r="B13" s="3" t="s">
        <v>127</v>
      </c>
      <c r="C13" s="3" t="s">
        <v>128</v>
      </c>
      <c r="D13" s="41" t="s">
        <v>20</v>
      </c>
      <c r="E13" s="12" t="s">
        <v>21</v>
      </c>
      <c r="F13" s="57">
        <v>74.56</v>
      </c>
      <c r="G13" s="57">
        <v>0</v>
      </c>
      <c r="H13" s="57">
        <f t="shared" si="0"/>
        <v>74.56</v>
      </c>
      <c r="I13" s="57">
        <v>3.59</v>
      </c>
      <c r="J13" s="60">
        <f t="shared" si="1"/>
        <v>78.150000000000006</v>
      </c>
      <c r="K13" s="57">
        <v>2.81</v>
      </c>
      <c r="L13" s="57">
        <v>3.7</v>
      </c>
      <c r="M13" s="57">
        <f t="shared" si="2"/>
        <v>84.660000000000011</v>
      </c>
      <c r="N13" s="60">
        <v>15</v>
      </c>
      <c r="O13" s="81">
        <f t="shared" si="3"/>
        <v>99.660000000000011</v>
      </c>
      <c r="P13" s="57">
        <f t="shared" si="4"/>
        <v>16.942200000000003</v>
      </c>
      <c r="Q13" s="59">
        <f t="shared" si="5"/>
        <v>116.60220000000001</v>
      </c>
      <c r="R13" s="57">
        <f t="shared" si="6"/>
        <v>0.44400000000000001</v>
      </c>
      <c r="S13" s="57">
        <f t="shared" si="7"/>
        <v>0.88800000000000001</v>
      </c>
      <c r="T13" s="61">
        <f>L13*0.07</f>
        <v>0.25900000000000006</v>
      </c>
      <c r="U13" s="61"/>
      <c r="V13" s="61"/>
      <c r="W13" s="61"/>
      <c r="X13" s="57">
        <f t="shared" si="8"/>
        <v>4.1440000000000012E-2</v>
      </c>
      <c r="Y13" s="63">
        <f t="shared" si="9"/>
        <v>113.64664</v>
      </c>
      <c r="Z13" s="63">
        <f t="shared" si="10"/>
        <v>114.09064000000001</v>
      </c>
      <c r="AA13" s="64">
        <f>335*3.0671/1000</f>
        <v>1.0274785</v>
      </c>
      <c r="AB13" s="65">
        <f t="shared" si="12"/>
        <v>0.17467134500000001</v>
      </c>
      <c r="AC13" s="63">
        <v>0</v>
      </c>
      <c r="AD13" s="63">
        <f t="shared" si="13"/>
        <v>114.848789845</v>
      </c>
      <c r="AE13" s="63">
        <f t="shared" si="14"/>
        <v>115.292789845</v>
      </c>
      <c r="AF13" s="65">
        <f t="shared" si="15"/>
        <v>117.804349845</v>
      </c>
      <c r="AG13" s="34"/>
      <c r="AH13" s="37">
        <f t="shared" si="16"/>
        <v>3.069</v>
      </c>
      <c r="AI13" s="46">
        <f t="shared" si="17"/>
        <v>2.9555600000000055</v>
      </c>
      <c r="AJ13" s="47">
        <f t="shared" si="18"/>
        <v>0.7444400000000001</v>
      </c>
      <c r="AK13" s="47">
        <f t="shared" si="19"/>
        <v>117.804349845</v>
      </c>
      <c r="AL13" s="47">
        <f t="shared" si="20"/>
        <v>0</v>
      </c>
    </row>
    <row r="14" spans="1:38" s="22" customFormat="1" ht="15" customHeight="1" x14ac:dyDescent="0.2">
      <c r="A14" s="39">
        <f t="shared" si="21"/>
        <v>6</v>
      </c>
      <c r="B14" s="38"/>
      <c r="C14" s="38" t="s">
        <v>22</v>
      </c>
      <c r="D14" s="4" t="s">
        <v>18</v>
      </c>
      <c r="E14" s="12" t="s">
        <v>13</v>
      </c>
      <c r="F14" s="57">
        <v>74.56</v>
      </c>
      <c r="G14" s="57">
        <v>0</v>
      </c>
      <c r="H14" s="57">
        <f t="shared" si="0"/>
        <v>74.56</v>
      </c>
      <c r="I14" s="57">
        <v>3.59</v>
      </c>
      <c r="J14" s="60">
        <f t="shared" si="1"/>
        <v>78.150000000000006</v>
      </c>
      <c r="K14" s="57">
        <v>2.81</v>
      </c>
      <c r="L14" s="57">
        <v>3.7</v>
      </c>
      <c r="M14" s="57">
        <f t="shared" si="2"/>
        <v>84.660000000000011</v>
      </c>
      <c r="N14" s="60">
        <v>15</v>
      </c>
      <c r="O14" s="60">
        <f t="shared" si="3"/>
        <v>99.660000000000011</v>
      </c>
      <c r="P14" s="57">
        <f t="shared" si="4"/>
        <v>16.942200000000003</v>
      </c>
      <c r="Q14" s="59">
        <f t="shared" si="5"/>
        <v>116.60220000000001</v>
      </c>
      <c r="R14" s="57">
        <f t="shared" si="6"/>
        <v>0.44400000000000001</v>
      </c>
      <c r="S14" s="57">
        <f t="shared" si="7"/>
        <v>0.88800000000000001</v>
      </c>
      <c r="T14" s="61">
        <f>L14*0.05</f>
        <v>0.18500000000000003</v>
      </c>
      <c r="U14" s="61"/>
      <c r="V14" s="61"/>
      <c r="W14" s="61"/>
      <c r="X14" s="57">
        <f t="shared" si="8"/>
        <v>2.9600000000000005E-2</v>
      </c>
      <c r="Y14" s="63">
        <f t="shared" si="9"/>
        <v>113.56080000000001</v>
      </c>
      <c r="Z14" s="63">
        <f t="shared" si="10"/>
        <v>114.00480000000002</v>
      </c>
      <c r="AA14" s="64">
        <f>180*3.0671/1000</f>
        <v>0.55207799999999996</v>
      </c>
      <c r="AB14" s="65">
        <f t="shared" si="12"/>
        <v>9.3853259999999994E-2</v>
      </c>
      <c r="AC14" s="63">
        <v>0</v>
      </c>
      <c r="AD14" s="63">
        <f t="shared" si="13"/>
        <v>114.20673126000001</v>
      </c>
      <c r="AE14" s="63">
        <f t="shared" si="14"/>
        <v>114.65073126000001</v>
      </c>
      <c r="AF14" s="65">
        <f t="shared" si="15"/>
        <v>117.24813126000001</v>
      </c>
      <c r="AG14" s="34"/>
      <c r="AH14" s="37">
        <f t="shared" si="16"/>
        <v>2.9950000000000001</v>
      </c>
      <c r="AI14" s="46">
        <f t="shared" si="17"/>
        <v>3.0413999999999959</v>
      </c>
      <c r="AJ14" s="47">
        <f t="shared" si="18"/>
        <v>0.65860000000000007</v>
      </c>
      <c r="AK14" s="47">
        <f t="shared" si="19"/>
        <v>117.24813126000001</v>
      </c>
      <c r="AL14" s="47">
        <f t="shared" si="20"/>
        <v>0</v>
      </c>
    </row>
    <row r="15" spans="1:38" s="22" customFormat="1" ht="15" customHeight="1" x14ac:dyDescent="0.2">
      <c r="A15" s="39">
        <f t="shared" si="21"/>
        <v>7</v>
      </c>
      <c r="B15" s="38"/>
      <c r="C15" s="38" t="s">
        <v>23</v>
      </c>
      <c r="D15" s="4" t="s">
        <v>24</v>
      </c>
      <c r="E15" s="12" t="s">
        <v>25</v>
      </c>
      <c r="F15" s="57">
        <v>74.56</v>
      </c>
      <c r="G15" s="57">
        <v>0</v>
      </c>
      <c r="H15" s="57">
        <f t="shared" si="0"/>
        <v>74.56</v>
      </c>
      <c r="I15" s="57">
        <v>3.59</v>
      </c>
      <c r="J15" s="60">
        <f t="shared" si="1"/>
        <v>78.150000000000006</v>
      </c>
      <c r="K15" s="57">
        <v>2.81</v>
      </c>
      <c r="L15" s="57">
        <v>3.7</v>
      </c>
      <c r="M15" s="57">
        <f t="shared" si="2"/>
        <v>84.660000000000011</v>
      </c>
      <c r="N15" s="60">
        <v>15</v>
      </c>
      <c r="O15" s="60">
        <f t="shared" si="3"/>
        <v>99.660000000000011</v>
      </c>
      <c r="P15" s="57">
        <f t="shared" si="4"/>
        <v>16.942200000000003</v>
      </c>
      <c r="Q15" s="59">
        <f t="shared" si="5"/>
        <v>116.60220000000001</v>
      </c>
      <c r="R15" s="57">
        <f t="shared" si="6"/>
        <v>0.44400000000000001</v>
      </c>
      <c r="S15" s="57">
        <f t="shared" si="7"/>
        <v>0.88800000000000001</v>
      </c>
      <c r="T15" s="61">
        <f>L15*0.05</f>
        <v>0.18500000000000003</v>
      </c>
      <c r="U15" s="61"/>
      <c r="V15" s="66"/>
      <c r="W15" s="61"/>
      <c r="X15" s="57">
        <f t="shared" si="8"/>
        <v>2.9600000000000005E-2</v>
      </c>
      <c r="Y15" s="63">
        <f t="shared" si="9"/>
        <v>113.56080000000001</v>
      </c>
      <c r="Z15" s="63">
        <f t="shared" si="10"/>
        <v>114.00480000000002</v>
      </c>
      <c r="AA15" s="64">
        <f>418.45/1000</f>
        <v>0.41844999999999999</v>
      </c>
      <c r="AB15" s="65">
        <f t="shared" si="12"/>
        <v>7.1136500000000005E-2</v>
      </c>
      <c r="AC15" s="63">
        <v>0</v>
      </c>
      <c r="AD15" s="63">
        <f t="shared" si="13"/>
        <v>114.0503865</v>
      </c>
      <c r="AE15" s="63">
        <f t="shared" si="14"/>
        <v>114.49438650000002</v>
      </c>
      <c r="AF15" s="65">
        <f t="shared" si="15"/>
        <v>117.09178650000001</v>
      </c>
      <c r="AG15" s="34"/>
      <c r="AH15" s="37">
        <f t="shared" si="16"/>
        <v>2.9950000000000001</v>
      </c>
      <c r="AI15" s="46">
        <f t="shared" si="17"/>
        <v>3.0414000000000101</v>
      </c>
      <c r="AJ15" s="47">
        <f t="shared" si="18"/>
        <v>0.65860000000000007</v>
      </c>
      <c r="AK15" s="47">
        <f t="shared" si="19"/>
        <v>117.09178650000001</v>
      </c>
      <c r="AL15" s="47">
        <f t="shared" si="20"/>
        <v>0</v>
      </c>
    </row>
    <row r="16" spans="1:38" s="22" customFormat="1" ht="15" customHeight="1" x14ac:dyDescent="0.2">
      <c r="A16" s="39">
        <f t="shared" si="21"/>
        <v>8</v>
      </c>
      <c r="B16" s="38"/>
      <c r="C16" s="38" t="s">
        <v>26</v>
      </c>
      <c r="D16" s="4" t="s">
        <v>27</v>
      </c>
      <c r="E16" s="12" t="s">
        <v>13</v>
      </c>
      <c r="F16" s="57">
        <v>74.56</v>
      </c>
      <c r="G16" s="57">
        <v>0</v>
      </c>
      <c r="H16" s="57">
        <f t="shared" si="0"/>
        <v>74.56</v>
      </c>
      <c r="I16" s="57">
        <v>3.59</v>
      </c>
      <c r="J16" s="60">
        <f t="shared" si="1"/>
        <v>78.150000000000006</v>
      </c>
      <c r="K16" s="57">
        <v>2.81</v>
      </c>
      <c r="L16" s="57">
        <v>3.7</v>
      </c>
      <c r="M16" s="57">
        <f t="shared" si="2"/>
        <v>84.660000000000011</v>
      </c>
      <c r="N16" s="60">
        <v>15</v>
      </c>
      <c r="O16" s="60">
        <f t="shared" si="3"/>
        <v>99.660000000000011</v>
      </c>
      <c r="P16" s="57">
        <f t="shared" si="4"/>
        <v>16.942200000000003</v>
      </c>
      <c r="Q16" s="59">
        <f t="shared" si="5"/>
        <v>116.60220000000001</v>
      </c>
      <c r="R16" s="57">
        <f t="shared" si="6"/>
        <v>0.44400000000000001</v>
      </c>
      <c r="S16" s="57">
        <f t="shared" si="7"/>
        <v>0.88800000000000001</v>
      </c>
      <c r="T16" s="61">
        <f>L16*0.05</f>
        <v>0.18500000000000003</v>
      </c>
      <c r="U16" s="61"/>
      <c r="V16" s="66"/>
      <c r="W16" s="61"/>
      <c r="X16" s="57">
        <f t="shared" si="8"/>
        <v>2.9600000000000005E-2</v>
      </c>
      <c r="Y16" s="63">
        <f t="shared" si="9"/>
        <v>113.56080000000001</v>
      </c>
      <c r="Z16" s="63">
        <f t="shared" si="10"/>
        <v>114.00480000000002</v>
      </c>
      <c r="AA16" s="64">
        <f>280*3.0671/1000</f>
        <v>0.858788</v>
      </c>
      <c r="AB16" s="65">
        <f t="shared" si="12"/>
        <v>0.14599396000000001</v>
      </c>
      <c r="AC16" s="63">
        <v>0</v>
      </c>
      <c r="AD16" s="63">
        <f t="shared" si="13"/>
        <v>114.56558196000002</v>
      </c>
      <c r="AE16" s="63">
        <f t="shared" si="14"/>
        <v>115.00958196000002</v>
      </c>
      <c r="AF16" s="65">
        <f t="shared" si="15"/>
        <v>117.60698196000001</v>
      </c>
      <c r="AG16" s="34"/>
      <c r="AH16" s="37">
        <f t="shared" si="16"/>
        <v>2.9950000000000001</v>
      </c>
      <c r="AI16" s="46">
        <f t="shared" si="17"/>
        <v>3.0413999999999959</v>
      </c>
      <c r="AJ16" s="47">
        <f t="shared" si="18"/>
        <v>0.65860000000000007</v>
      </c>
      <c r="AK16" s="47">
        <f t="shared" si="19"/>
        <v>117.60698196000001</v>
      </c>
      <c r="AL16" s="47">
        <f t="shared" si="20"/>
        <v>0</v>
      </c>
    </row>
    <row r="17" spans="1:38" s="22" customFormat="1" ht="15" customHeight="1" x14ac:dyDescent="0.2">
      <c r="A17" s="39">
        <f t="shared" si="21"/>
        <v>9</v>
      </c>
      <c r="B17" s="38"/>
      <c r="C17" s="38" t="s">
        <v>28</v>
      </c>
      <c r="D17" s="4" t="s">
        <v>9</v>
      </c>
      <c r="E17" s="12" t="s">
        <v>10</v>
      </c>
      <c r="F17" s="57">
        <v>74.56</v>
      </c>
      <c r="G17" s="57">
        <v>0</v>
      </c>
      <c r="H17" s="57">
        <f t="shared" si="0"/>
        <v>74.56</v>
      </c>
      <c r="I17" s="57">
        <v>3.59</v>
      </c>
      <c r="J17" s="60">
        <f t="shared" si="1"/>
        <v>78.150000000000006</v>
      </c>
      <c r="K17" s="57">
        <v>2.81</v>
      </c>
      <c r="L17" s="57">
        <v>3.7</v>
      </c>
      <c r="M17" s="57">
        <f t="shared" si="2"/>
        <v>84.660000000000011</v>
      </c>
      <c r="N17" s="60">
        <v>15</v>
      </c>
      <c r="O17" s="60">
        <f t="shared" si="3"/>
        <v>99.660000000000011</v>
      </c>
      <c r="P17" s="57">
        <f t="shared" si="4"/>
        <v>16.942200000000003</v>
      </c>
      <c r="Q17" s="59">
        <f t="shared" si="5"/>
        <v>116.60220000000001</v>
      </c>
      <c r="R17" s="57">
        <f t="shared" si="6"/>
        <v>0.44400000000000001</v>
      </c>
      <c r="S17" s="57">
        <f t="shared" si="7"/>
        <v>0.88800000000000001</v>
      </c>
      <c r="T17" s="61">
        <f>L17*0.09</f>
        <v>0.33300000000000002</v>
      </c>
      <c r="U17" s="61">
        <v>0.06</v>
      </c>
      <c r="V17" s="61">
        <v>0.02</v>
      </c>
      <c r="W17" s="61">
        <v>0.03</v>
      </c>
      <c r="X17" s="57">
        <f t="shared" si="8"/>
        <v>7.0880000000000012E-2</v>
      </c>
      <c r="Y17" s="63">
        <f t="shared" si="9"/>
        <v>113.86008000000001</v>
      </c>
      <c r="Z17" s="63">
        <f t="shared" si="10"/>
        <v>114.30408000000001</v>
      </c>
      <c r="AA17" s="64">
        <f>414.73/1000</f>
        <v>0.41473000000000004</v>
      </c>
      <c r="AB17" s="65">
        <f t="shared" si="12"/>
        <v>7.0504100000000014E-2</v>
      </c>
      <c r="AC17" s="63">
        <v>0</v>
      </c>
      <c r="AD17" s="63">
        <f t="shared" si="13"/>
        <v>114.34531410000001</v>
      </c>
      <c r="AE17" s="63">
        <f t="shared" si="14"/>
        <v>114.78931410000001</v>
      </c>
      <c r="AF17" s="65">
        <f t="shared" si="15"/>
        <v>117.08743410000001</v>
      </c>
      <c r="AG17" s="34"/>
      <c r="AH17" s="37">
        <f t="shared" si="16"/>
        <v>3.2530000000000001</v>
      </c>
      <c r="AI17" s="46">
        <f t="shared" si="17"/>
        <v>2.7421199999999999</v>
      </c>
      <c r="AJ17" s="47">
        <f t="shared" si="18"/>
        <v>0.86787999999999998</v>
      </c>
      <c r="AK17" s="47">
        <f t="shared" si="19"/>
        <v>117.08743410000001</v>
      </c>
      <c r="AL17" s="47">
        <f t="shared" si="20"/>
        <v>0</v>
      </c>
    </row>
    <row r="18" spans="1:38" s="22" customFormat="1" ht="15" customHeight="1" x14ac:dyDescent="0.2">
      <c r="A18" s="39">
        <f t="shared" si="21"/>
        <v>10</v>
      </c>
      <c r="B18" s="38"/>
      <c r="C18" s="38" t="s">
        <v>29</v>
      </c>
      <c r="D18" s="4" t="s">
        <v>9</v>
      </c>
      <c r="E18" s="12" t="s">
        <v>16</v>
      </c>
      <c r="F18" s="57">
        <v>74.56</v>
      </c>
      <c r="G18" s="57">
        <v>0</v>
      </c>
      <c r="H18" s="57">
        <f t="shared" si="0"/>
        <v>74.56</v>
      </c>
      <c r="I18" s="57">
        <v>3.59</v>
      </c>
      <c r="J18" s="60">
        <f t="shared" si="1"/>
        <v>78.150000000000006</v>
      </c>
      <c r="K18" s="57">
        <v>2.81</v>
      </c>
      <c r="L18" s="57">
        <v>3.7</v>
      </c>
      <c r="M18" s="57">
        <f t="shared" si="2"/>
        <v>84.660000000000011</v>
      </c>
      <c r="N18" s="60">
        <v>15</v>
      </c>
      <c r="O18" s="60">
        <f t="shared" si="3"/>
        <v>99.660000000000011</v>
      </c>
      <c r="P18" s="57">
        <f t="shared" si="4"/>
        <v>16.942200000000003</v>
      </c>
      <c r="Q18" s="59">
        <f t="shared" si="5"/>
        <v>116.60220000000001</v>
      </c>
      <c r="R18" s="57">
        <f t="shared" si="6"/>
        <v>0.44400000000000001</v>
      </c>
      <c r="S18" s="57">
        <f t="shared" si="7"/>
        <v>0.88800000000000001</v>
      </c>
      <c r="T18" s="61">
        <f>L18*0.05</f>
        <v>0.18500000000000003</v>
      </c>
      <c r="U18" s="61"/>
      <c r="V18" s="66"/>
      <c r="W18" s="61"/>
      <c r="X18" s="57">
        <f t="shared" si="8"/>
        <v>2.9600000000000005E-2</v>
      </c>
      <c r="Y18" s="63">
        <f t="shared" si="9"/>
        <v>113.56080000000001</v>
      </c>
      <c r="Z18" s="63">
        <f t="shared" si="10"/>
        <v>114.00480000000002</v>
      </c>
      <c r="AA18" s="64">
        <f>190*3.0671/1000</f>
        <v>0.58274900000000007</v>
      </c>
      <c r="AB18" s="65">
        <f t="shared" si="12"/>
        <v>9.9067330000000023E-2</v>
      </c>
      <c r="AC18" s="63">
        <v>0</v>
      </c>
      <c r="AD18" s="63">
        <f t="shared" si="13"/>
        <v>114.24261633000002</v>
      </c>
      <c r="AE18" s="63">
        <f t="shared" si="14"/>
        <v>114.68661633000002</v>
      </c>
      <c r="AF18" s="65">
        <f t="shared" si="15"/>
        <v>117.28401633000001</v>
      </c>
      <c r="AG18" s="34"/>
      <c r="AH18" s="37">
        <f t="shared" si="16"/>
        <v>2.9950000000000001</v>
      </c>
      <c r="AI18" s="46">
        <f t="shared" si="17"/>
        <v>3.0413999999999959</v>
      </c>
      <c r="AJ18" s="47">
        <f t="shared" si="18"/>
        <v>0.65860000000000007</v>
      </c>
      <c r="AK18" s="47">
        <f t="shared" si="19"/>
        <v>117.28401633000001</v>
      </c>
      <c r="AL18" s="47">
        <f t="shared" si="20"/>
        <v>0</v>
      </c>
    </row>
    <row r="19" spans="1:38" s="22" customFormat="1" ht="15" hidden="1" customHeight="1" x14ac:dyDescent="0.2">
      <c r="A19" s="79">
        <f t="shared" si="21"/>
        <v>11</v>
      </c>
      <c r="B19" s="3" t="s">
        <v>126</v>
      </c>
      <c r="C19" s="3" t="s">
        <v>30</v>
      </c>
      <c r="D19" s="4" t="s">
        <v>31</v>
      </c>
      <c r="E19" s="12" t="s">
        <v>16</v>
      </c>
      <c r="F19" s="57">
        <v>74.56</v>
      </c>
      <c r="G19" s="57">
        <v>0</v>
      </c>
      <c r="H19" s="57">
        <f t="shared" si="0"/>
        <v>74.56</v>
      </c>
      <c r="I19" s="57">
        <v>3.59</v>
      </c>
      <c r="J19" s="60">
        <f t="shared" si="1"/>
        <v>78.150000000000006</v>
      </c>
      <c r="K19" s="57">
        <v>2.81</v>
      </c>
      <c r="L19" s="57">
        <v>3.7</v>
      </c>
      <c r="M19" s="57">
        <f t="shared" si="2"/>
        <v>84.660000000000011</v>
      </c>
      <c r="N19" s="60">
        <v>15</v>
      </c>
      <c r="O19" s="81">
        <f t="shared" si="3"/>
        <v>99.660000000000011</v>
      </c>
      <c r="P19" s="57">
        <f t="shared" si="4"/>
        <v>16.942200000000003</v>
      </c>
      <c r="Q19" s="59">
        <f t="shared" si="5"/>
        <v>116.60220000000001</v>
      </c>
      <c r="R19" s="57">
        <f t="shared" si="6"/>
        <v>0.44400000000000001</v>
      </c>
      <c r="S19" s="57">
        <f t="shared" si="7"/>
        <v>0.88800000000000001</v>
      </c>
      <c r="T19" s="61">
        <f t="shared" ref="T19:T23" si="22">L19*0.05</f>
        <v>0.18500000000000003</v>
      </c>
      <c r="U19" s="61"/>
      <c r="V19" s="66"/>
      <c r="W19" s="61"/>
      <c r="X19" s="57">
        <f t="shared" si="8"/>
        <v>2.9600000000000005E-2</v>
      </c>
      <c r="Y19" s="63">
        <f t="shared" si="9"/>
        <v>113.56080000000001</v>
      </c>
      <c r="Z19" s="63">
        <f t="shared" si="10"/>
        <v>114.00480000000002</v>
      </c>
      <c r="AA19" s="64">
        <f t="shared" ref="AA19:AA23" si="23">418.45/1000</f>
        <v>0.41844999999999999</v>
      </c>
      <c r="AB19" s="65">
        <f t="shared" si="12"/>
        <v>7.1136500000000005E-2</v>
      </c>
      <c r="AC19" s="63">
        <v>0</v>
      </c>
      <c r="AD19" s="63">
        <f t="shared" si="13"/>
        <v>114.0503865</v>
      </c>
      <c r="AE19" s="63">
        <f t="shared" si="14"/>
        <v>114.49438650000002</v>
      </c>
      <c r="AF19" s="65">
        <f t="shared" si="15"/>
        <v>117.09178650000001</v>
      </c>
      <c r="AG19" s="34"/>
      <c r="AH19" s="37">
        <f t="shared" si="16"/>
        <v>2.9950000000000001</v>
      </c>
      <c r="AI19" s="46">
        <f t="shared" si="17"/>
        <v>3.0414000000000101</v>
      </c>
      <c r="AJ19" s="47">
        <f t="shared" si="18"/>
        <v>0.65860000000000007</v>
      </c>
      <c r="AK19" s="47">
        <f t="shared" si="19"/>
        <v>117.09178650000001</v>
      </c>
      <c r="AL19" s="47">
        <f t="shared" si="20"/>
        <v>0</v>
      </c>
    </row>
    <row r="20" spans="1:38" s="22" customFormat="1" ht="15" customHeight="1" x14ac:dyDescent="0.2">
      <c r="A20" s="39">
        <f t="shared" si="21"/>
        <v>12</v>
      </c>
      <c r="B20" s="38"/>
      <c r="C20" s="38" t="s">
        <v>32</v>
      </c>
      <c r="D20" s="4" t="s">
        <v>31</v>
      </c>
      <c r="E20" s="12" t="s">
        <v>16</v>
      </c>
      <c r="F20" s="57">
        <v>74.56</v>
      </c>
      <c r="G20" s="57">
        <v>0</v>
      </c>
      <c r="H20" s="57">
        <f t="shared" si="0"/>
        <v>74.56</v>
      </c>
      <c r="I20" s="57">
        <v>3.59</v>
      </c>
      <c r="J20" s="60">
        <f t="shared" si="1"/>
        <v>78.150000000000006</v>
      </c>
      <c r="K20" s="57">
        <v>2.81</v>
      </c>
      <c r="L20" s="57">
        <v>3.7</v>
      </c>
      <c r="M20" s="57">
        <f t="shared" si="2"/>
        <v>84.660000000000011</v>
      </c>
      <c r="N20" s="60">
        <v>15</v>
      </c>
      <c r="O20" s="60">
        <f t="shared" si="3"/>
        <v>99.660000000000011</v>
      </c>
      <c r="P20" s="57">
        <f t="shared" si="4"/>
        <v>16.942200000000003</v>
      </c>
      <c r="Q20" s="59">
        <f t="shared" si="5"/>
        <v>116.60220000000001</v>
      </c>
      <c r="R20" s="57">
        <f t="shared" si="6"/>
        <v>0.44400000000000001</v>
      </c>
      <c r="S20" s="57">
        <f t="shared" si="7"/>
        <v>0.88800000000000001</v>
      </c>
      <c r="T20" s="61">
        <f t="shared" si="22"/>
        <v>0.18500000000000003</v>
      </c>
      <c r="U20" s="61"/>
      <c r="V20" s="66"/>
      <c r="W20" s="61"/>
      <c r="X20" s="57">
        <f t="shared" si="8"/>
        <v>2.9600000000000005E-2</v>
      </c>
      <c r="Y20" s="63">
        <f t="shared" si="9"/>
        <v>113.56080000000001</v>
      </c>
      <c r="Z20" s="63">
        <f t="shared" si="10"/>
        <v>114.00480000000002</v>
      </c>
      <c r="AA20" s="64">
        <f t="shared" si="23"/>
        <v>0.41844999999999999</v>
      </c>
      <c r="AB20" s="65">
        <f t="shared" si="12"/>
        <v>7.1136500000000005E-2</v>
      </c>
      <c r="AC20" s="63">
        <v>0</v>
      </c>
      <c r="AD20" s="63">
        <f t="shared" si="13"/>
        <v>114.0503865</v>
      </c>
      <c r="AE20" s="63">
        <f t="shared" si="14"/>
        <v>114.49438650000002</v>
      </c>
      <c r="AF20" s="65">
        <f t="shared" si="15"/>
        <v>117.09178650000001</v>
      </c>
      <c r="AG20" s="34"/>
      <c r="AH20" s="37">
        <f t="shared" si="16"/>
        <v>2.9950000000000001</v>
      </c>
      <c r="AI20" s="46">
        <f t="shared" si="17"/>
        <v>3.0414000000000101</v>
      </c>
      <c r="AJ20" s="47">
        <f t="shared" si="18"/>
        <v>0.65860000000000007</v>
      </c>
      <c r="AK20" s="47">
        <f t="shared" si="19"/>
        <v>117.09178650000001</v>
      </c>
      <c r="AL20" s="47">
        <f t="shared" si="20"/>
        <v>0</v>
      </c>
    </row>
    <row r="21" spans="1:38" s="22" customFormat="1" ht="15" hidden="1" customHeight="1" x14ac:dyDescent="0.2">
      <c r="A21" s="79">
        <f t="shared" si="21"/>
        <v>13</v>
      </c>
      <c r="B21" s="3" t="s">
        <v>134</v>
      </c>
      <c r="C21" s="3" t="s">
        <v>33</v>
      </c>
      <c r="D21" s="4" t="s">
        <v>31</v>
      </c>
      <c r="E21" s="12" t="s">
        <v>13</v>
      </c>
      <c r="F21" s="57">
        <v>74.56</v>
      </c>
      <c r="G21" s="57">
        <v>0</v>
      </c>
      <c r="H21" s="57">
        <f t="shared" si="0"/>
        <v>74.56</v>
      </c>
      <c r="I21" s="57">
        <v>3.59</v>
      </c>
      <c r="J21" s="60">
        <f t="shared" si="1"/>
        <v>78.150000000000006</v>
      </c>
      <c r="K21" s="57">
        <v>2.81</v>
      </c>
      <c r="L21" s="57">
        <v>3.7</v>
      </c>
      <c r="M21" s="57">
        <f t="shared" si="2"/>
        <v>84.660000000000011</v>
      </c>
      <c r="N21" s="60">
        <v>15</v>
      </c>
      <c r="O21" s="81">
        <f t="shared" si="3"/>
        <v>99.660000000000011</v>
      </c>
      <c r="P21" s="57">
        <f t="shared" si="4"/>
        <v>16.942200000000003</v>
      </c>
      <c r="Q21" s="59">
        <f t="shared" si="5"/>
        <v>116.60220000000001</v>
      </c>
      <c r="R21" s="57">
        <f t="shared" si="6"/>
        <v>0.44400000000000001</v>
      </c>
      <c r="S21" s="57">
        <f t="shared" si="7"/>
        <v>0.88800000000000001</v>
      </c>
      <c r="T21" s="61">
        <f t="shared" si="22"/>
        <v>0.18500000000000003</v>
      </c>
      <c r="U21" s="61"/>
      <c r="V21" s="66"/>
      <c r="W21" s="61"/>
      <c r="X21" s="57">
        <f t="shared" si="8"/>
        <v>2.9600000000000005E-2</v>
      </c>
      <c r="Y21" s="63">
        <f t="shared" si="9"/>
        <v>113.56080000000001</v>
      </c>
      <c r="Z21" s="63">
        <f t="shared" si="10"/>
        <v>114.00480000000002</v>
      </c>
      <c r="AA21" s="64">
        <f>418.45/1000</f>
        <v>0.41844999999999999</v>
      </c>
      <c r="AB21" s="65">
        <f t="shared" si="12"/>
        <v>7.1136500000000005E-2</v>
      </c>
      <c r="AC21" s="63">
        <v>0</v>
      </c>
      <c r="AD21" s="63">
        <f t="shared" si="13"/>
        <v>114.0503865</v>
      </c>
      <c r="AE21" s="63">
        <f t="shared" si="14"/>
        <v>114.49438650000002</v>
      </c>
      <c r="AF21" s="65">
        <f t="shared" si="15"/>
        <v>117.09178650000001</v>
      </c>
      <c r="AG21" s="34"/>
      <c r="AH21" s="37">
        <f t="shared" si="16"/>
        <v>2.9950000000000001</v>
      </c>
      <c r="AI21" s="46">
        <f t="shared" si="17"/>
        <v>3.0414000000000101</v>
      </c>
      <c r="AJ21" s="47">
        <f t="shared" si="18"/>
        <v>0.65860000000000007</v>
      </c>
      <c r="AK21" s="47">
        <f t="shared" si="19"/>
        <v>117.09178650000001</v>
      </c>
      <c r="AL21" s="47">
        <f t="shared" si="20"/>
        <v>0</v>
      </c>
    </row>
    <row r="22" spans="1:38" s="22" customFormat="1" ht="15" customHeight="1" x14ac:dyDescent="0.2">
      <c r="A22" s="39">
        <f t="shared" si="21"/>
        <v>14</v>
      </c>
      <c r="B22" s="38"/>
      <c r="C22" s="38" t="s">
        <v>34</v>
      </c>
      <c r="D22" s="4" t="s">
        <v>35</v>
      </c>
      <c r="E22" s="12" t="s">
        <v>13</v>
      </c>
      <c r="F22" s="57">
        <v>74.56</v>
      </c>
      <c r="G22" s="57">
        <v>0</v>
      </c>
      <c r="H22" s="57">
        <f t="shared" si="0"/>
        <v>74.56</v>
      </c>
      <c r="I22" s="57">
        <v>3.59</v>
      </c>
      <c r="J22" s="60">
        <f t="shared" si="1"/>
        <v>78.150000000000006</v>
      </c>
      <c r="K22" s="57">
        <v>2.81</v>
      </c>
      <c r="L22" s="57">
        <v>3.7</v>
      </c>
      <c r="M22" s="57">
        <f t="shared" si="2"/>
        <v>84.660000000000011</v>
      </c>
      <c r="N22" s="60">
        <v>15</v>
      </c>
      <c r="O22" s="60">
        <f t="shared" si="3"/>
        <v>99.660000000000011</v>
      </c>
      <c r="P22" s="57">
        <f t="shared" si="4"/>
        <v>16.942200000000003</v>
      </c>
      <c r="Q22" s="59">
        <f t="shared" si="5"/>
        <v>116.60220000000001</v>
      </c>
      <c r="R22" s="57">
        <f t="shared" si="6"/>
        <v>0.44400000000000001</v>
      </c>
      <c r="S22" s="57">
        <f t="shared" si="7"/>
        <v>0.88800000000000001</v>
      </c>
      <c r="T22" s="61">
        <f t="shared" si="22"/>
        <v>0.18500000000000003</v>
      </c>
      <c r="U22" s="61"/>
      <c r="V22" s="66"/>
      <c r="W22" s="61"/>
      <c r="X22" s="57">
        <f t="shared" si="8"/>
        <v>2.9600000000000005E-2</v>
      </c>
      <c r="Y22" s="63">
        <f t="shared" si="9"/>
        <v>113.56080000000001</v>
      </c>
      <c r="Z22" s="63">
        <f t="shared" si="10"/>
        <v>114.00480000000002</v>
      </c>
      <c r="AA22" s="64">
        <f t="shared" si="23"/>
        <v>0.41844999999999999</v>
      </c>
      <c r="AB22" s="65">
        <f t="shared" si="12"/>
        <v>7.1136500000000005E-2</v>
      </c>
      <c r="AC22" s="63">
        <v>0</v>
      </c>
      <c r="AD22" s="63">
        <f t="shared" si="13"/>
        <v>114.0503865</v>
      </c>
      <c r="AE22" s="63">
        <f t="shared" si="14"/>
        <v>114.49438650000002</v>
      </c>
      <c r="AF22" s="65">
        <f t="shared" si="15"/>
        <v>117.09178650000001</v>
      </c>
      <c r="AG22" s="34"/>
      <c r="AH22" s="37">
        <f t="shared" si="16"/>
        <v>2.9950000000000001</v>
      </c>
      <c r="AI22" s="46">
        <f t="shared" si="17"/>
        <v>3.0414000000000101</v>
      </c>
      <c r="AJ22" s="47">
        <f t="shared" si="18"/>
        <v>0.65860000000000007</v>
      </c>
      <c r="AK22" s="47">
        <f t="shared" si="19"/>
        <v>117.09178650000001</v>
      </c>
      <c r="AL22" s="47">
        <f t="shared" si="20"/>
        <v>0</v>
      </c>
    </row>
    <row r="23" spans="1:38" s="22" customFormat="1" ht="15" customHeight="1" x14ac:dyDescent="0.2">
      <c r="A23" s="39">
        <f t="shared" si="21"/>
        <v>15</v>
      </c>
      <c r="B23" s="38"/>
      <c r="C23" s="38" t="s">
        <v>36</v>
      </c>
      <c r="D23" s="4" t="s">
        <v>37</v>
      </c>
      <c r="E23" s="12" t="s">
        <v>13</v>
      </c>
      <c r="F23" s="57">
        <v>74.56</v>
      </c>
      <c r="G23" s="57">
        <v>0</v>
      </c>
      <c r="H23" s="57">
        <f t="shared" si="0"/>
        <v>74.56</v>
      </c>
      <c r="I23" s="57">
        <v>3.59</v>
      </c>
      <c r="J23" s="60">
        <f t="shared" si="1"/>
        <v>78.150000000000006</v>
      </c>
      <c r="K23" s="57">
        <v>2.81</v>
      </c>
      <c r="L23" s="57">
        <v>3.7</v>
      </c>
      <c r="M23" s="57">
        <f t="shared" si="2"/>
        <v>84.660000000000011</v>
      </c>
      <c r="N23" s="60">
        <v>15</v>
      </c>
      <c r="O23" s="60">
        <f t="shared" si="3"/>
        <v>99.660000000000011</v>
      </c>
      <c r="P23" s="57">
        <f t="shared" si="4"/>
        <v>16.942200000000003</v>
      </c>
      <c r="Q23" s="59">
        <f t="shared" si="5"/>
        <v>116.60220000000001</v>
      </c>
      <c r="R23" s="57">
        <f t="shared" si="6"/>
        <v>0.44400000000000001</v>
      </c>
      <c r="S23" s="57">
        <f t="shared" si="7"/>
        <v>0.88800000000000001</v>
      </c>
      <c r="T23" s="61">
        <f t="shared" si="22"/>
        <v>0.18500000000000003</v>
      </c>
      <c r="U23" s="61"/>
      <c r="V23" s="66"/>
      <c r="W23" s="61"/>
      <c r="X23" s="57">
        <f t="shared" si="8"/>
        <v>2.9600000000000005E-2</v>
      </c>
      <c r="Y23" s="63">
        <f t="shared" si="9"/>
        <v>113.56080000000001</v>
      </c>
      <c r="Z23" s="63">
        <f t="shared" si="10"/>
        <v>114.00480000000002</v>
      </c>
      <c r="AA23" s="64">
        <f t="shared" si="23"/>
        <v>0.41844999999999999</v>
      </c>
      <c r="AB23" s="65">
        <f t="shared" si="12"/>
        <v>7.1136500000000005E-2</v>
      </c>
      <c r="AC23" s="63">
        <v>0</v>
      </c>
      <c r="AD23" s="63">
        <f t="shared" si="13"/>
        <v>114.0503865</v>
      </c>
      <c r="AE23" s="63">
        <f t="shared" si="14"/>
        <v>114.49438650000002</v>
      </c>
      <c r="AF23" s="65">
        <f t="shared" si="15"/>
        <v>117.09178650000001</v>
      </c>
      <c r="AG23" s="34"/>
      <c r="AH23" s="37">
        <f t="shared" si="16"/>
        <v>2.9950000000000001</v>
      </c>
      <c r="AI23" s="46">
        <f t="shared" si="17"/>
        <v>3.0414000000000101</v>
      </c>
      <c r="AJ23" s="47">
        <f t="shared" si="18"/>
        <v>0.65860000000000007</v>
      </c>
      <c r="AK23" s="47">
        <f t="shared" si="19"/>
        <v>117.09178650000001</v>
      </c>
      <c r="AL23" s="47">
        <f t="shared" si="20"/>
        <v>0</v>
      </c>
    </row>
    <row r="24" spans="1:38" s="22" customFormat="1" ht="15" customHeight="1" x14ac:dyDescent="0.2">
      <c r="A24" s="39">
        <f t="shared" si="21"/>
        <v>16</v>
      </c>
      <c r="B24" s="38"/>
      <c r="C24" s="38" t="s">
        <v>38</v>
      </c>
      <c r="D24" s="4" t="s">
        <v>39</v>
      </c>
      <c r="E24" s="12" t="s">
        <v>21</v>
      </c>
      <c r="F24" s="57">
        <v>74.56</v>
      </c>
      <c r="G24" s="57">
        <v>0</v>
      </c>
      <c r="H24" s="57">
        <f t="shared" si="0"/>
        <v>74.56</v>
      </c>
      <c r="I24" s="57">
        <v>3.59</v>
      </c>
      <c r="J24" s="60">
        <f t="shared" si="1"/>
        <v>78.150000000000006</v>
      </c>
      <c r="K24" s="57">
        <v>2.81</v>
      </c>
      <c r="L24" s="57">
        <v>3.7</v>
      </c>
      <c r="M24" s="57">
        <f t="shared" si="2"/>
        <v>84.660000000000011</v>
      </c>
      <c r="N24" s="60">
        <v>15</v>
      </c>
      <c r="O24" s="60">
        <f t="shared" si="3"/>
        <v>99.660000000000011</v>
      </c>
      <c r="P24" s="57">
        <f t="shared" si="4"/>
        <v>16.942200000000003</v>
      </c>
      <c r="Q24" s="59">
        <f t="shared" si="5"/>
        <v>116.60220000000001</v>
      </c>
      <c r="R24" s="57">
        <f t="shared" si="6"/>
        <v>0.44400000000000001</v>
      </c>
      <c r="S24" s="57">
        <f t="shared" si="7"/>
        <v>0.88800000000000001</v>
      </c>
      <c r="T24" s="61">
        <f>L24*0.07</f>
        <v>0.25900000000000006</v>
      </c>
      <c r="U24" s="61"/>
      <c r="V24" s="66"/>
      <c r="W24" s="61"/>
      <c r="X24" s="57">
        <f t="shared" si="8"/>
        <v>4.1440000000000012E-2</v>
      </c>
      <c r="Y24" s="63">
        <f t="shared" si="9"/>
        <v>113.64664</v>
      </c>
      <c r="Z24" s="63">
        <f t="shared" si="10"/>
        <v>114.09064000000001</v>
      </c>
      <c r="AA24" s="64">
        <f>180*3.0671/1000</f>
        <v>0.55207799999999996</v>
      </c>
      <c r="AB24" s="65">
        <f t="shared" si="12"/>
        <v>9.3853259999999994E-2</v>
      </c>
      <c r="AC24" s="63">
        <v>0</v>
      </c>
      <c r="AD24" s="63">
        <f t="shared" si="13"/>
        <v>114.29257126</v>
      </c>
      <c r="AE24" s="63">
        <f t="shared" si="14"/>
        <v>114.73657126000001</v>
      </c>
      <c r="AF24" s="65">
        <f t="shared" si="15"/>
        <v>117.24813126000001</v>
      </c>
      <c r="AG24" s="34"/>
      <c r="AH24" s="37">
        <f t="shared" si="16"/>
        <v>3.069</v>
      </c>
      <c r="AI24" s="46">
        <f t="shared" si="17"/>
        <v>2.9555600000000055</v>
      </c>
      <c r="AJ24" s="47">
        <f t="shared" si="18"/>
        <v>0.7444400000000001</v>
      </c>
      <c r="AK24" s="47">
        <f t="shared" si="19"/>
        <v>117.24813126000001</v>
      </c>
      <c r="AL24" s="47">
        <f t="shared" si="20"/>
        <v>0</v>
      </c>
    </row>
    <row r="25" spans="1:38" s="22" customFormat="1" ht="15" hidden="1" customHeight="1" x14ac:dyDescent="0.2">
      <c r="A25" s="39">
        <f t="shared" si="21"/>
        <v>17</v>
      </c>
      <c r="B25" s="38" t="s">
        <v>151</v>
      </c>
      <c r="C25" s="80" t="s">
        <v>40</v>
      </c>
      <c r="D25" s="4" t="s">
        <v>15</v>
      </c>
      <c r="E25" s="12" t="s">
        <v>25</v>
      </c>
      <c r="F25" s="57">
        <v>74.56</v>
      </c>
      <c r="G25" s="57">
        <v>0</v>
      </c>
      <c r="H25" s="57">
        <f t="shared" si="0"/>
        <v>74.56</v>
      </c>
      <c r="I25" s="57">
        <v>3.59</v>
      </c>
      <c r="J25" s="60">
        <f t="shared" si="1"/>
        <v>78.150000000000006</v>
      </c>
      <c r="K25" s="57">
        <v>2.81</v>
      </c>
      <c r="L25" s="57">
        <v>3.7</v>
      </c>
      <c r="M25" s="57">
        <f t="shared" si="2"/>
        <v>84.660000000000011</v>
      </c>
      <c r="N25" s="60">
        <v>15</v>
      </c>
      <c r="O25" s="81">
        <f t="shared" si="3"/>
        <v>99.660000000000011</v>
      </c>
      <c r="P25" s="57">
        <f t="shared" si="4"/>
        <v>16.942200000000003</v>
      </c>
      <c r="Q25" s="59">
        <f t="shared" si="5"/>
        <v>116.60220000000001</v>
      </c>
      <c r="R25" s="57">
        <f t="shared" si="6"/>
        <v>0.44400000000000001</v>
      </c>
      <c r="S25" s="57">
        <f t="shared" si="7"/>
        <v>0.88800000000000001</v>
      </c>
      <c r="T25" s="61">
        <f t="shared" ref="T25:T31" si="24">L25*0.05</f>
        <v>0.18500000000000003</v>
      </c>
      <c r="U25" s="61"/>
      <c r="V25" s="66"/>
      <c r="W25" s="61"/>
      <c r="X25" s="57">
        <f t="shared" si="8"/>
        <v>2.9600000000000005E-2</v>
      </c>
      <c r="Y25" s="63">
        <f t="shared" si="9"/>
        <v>113.56080000000001</v>
      </c>
      <c r="Z25" s="63">
        <f t="shared" si="10"/>
        <v>114.00480000000002</v>
      </c>
      <c r="AA25" s="64">
        <f>418.45/1000</f>
        <v>0.41844999999999999</v>
      </c>
      <c r="AB25" s="65">
        <f t="shared" si="12"/>
        <v>7.1136500000000005E-2</v>
      </c>
      <c r="AC25" s="63">
        <v>0</v>
      </c>
      <c r="AD25" s="63">
        <f t="shared" si="13"/>
        <v>114.0503865</v>
      </c>
      <c r="AE25" s="63">
        <f t="shared" si="14"/>
        <v>114.49438650000002</v>
      </c>
      <c r="AF25" s="65">
        <f t="shared" si="15"/>
        <v>117.09178650000001</v>
      </c>
      <c r="AG25" s="34"/>
      <c r="AH25" s="37">
        <f t="shared" si="16"/>
        <v>2.9950000000000001</v>
      </c>
      <c r="AI25" s="46">
        <f t="shared" si="17"/>
        <v>3.0414000000000101</v>
      </c>
      <c r="AJ25" s="47">
        <f t="shared" si="18"/>
        <v>0.65860000000000007</v>
      </c>
      <c r="AK25" s="47">
        <f t="shared" si="19"/>
        <v>117.09178650000001</v>
      </c>
      <c r="AL25" s="47">
        <f t="shared" si="20"/>
        <v>0</v>
      </c>
    </row>
    <row r="26" spans="1:38" s="22" customFormat="1" ht="15" customHeight="1" x14ac:dyDescent="0.2">
      <c r="A26" s="39">
        <f t="shared" si="21"/>
        <v>18</v>
      </c>
      <c r="B26" s="38"/>
      <c r="C26" s="38" t="s">
        <v>41</v>
      </c>
      <c r="D26" s="4" t="s">
        <v>15</v>
      </c>
      <c r="E26" s="12" t="s">
        <v>13</v>
      </c>
      <c r="F26" s="57">
        <v>74.56</v>
      </c>
      <c r="G26" s="57">
        <v>0</v>
      </c>
      <c r="H26" s="57">
        <f t="shared" si="0"/>
        <v>74.56</v>
      </c>
      <c r="I26" s="57">
        <v>3.59</v>
      </c>
      <c r="J26" s="60">
        <f t="shared" si="1"/>
        <v>78.150000000000006</v>
      </c>
      <c r="K26" s="57">
        <v>2.81</v>
      </c>
      <c r="L26" s="57">
        <v>3.7</v>
      </c>
      <c r="M26" s="57">
        <f t="shared" si="2"/>
        <v>84.660000000000011</v>
      </c>
      <c r="N26" s="60">
        <v>15</v>
      </c>
      <c r="O26" s="60">
        <f t="shared" si="3"/>
        <v>99.660000000000011</v>
      </c>
      <c r="P26" s="57">
        <f t="shared" si="4"/>
        <v>16.942200000000003</v>
      </c>
      <c r="Q26" s="59">
        <f t="shared" si="5"/>
        <v>116.60220000000001</v>
      </c>
      <c r="R26" s="57">
        <f t="shared" si="6"/>
        <v>0.44400000000000001</v>
      </c>
      <c r="S26" s="57">
        <f t="shared" si="7"/>
        <v>0.88800000000000001</v>
      </c>
      <c r="T26" s="61">
        <f t="shared" si="24"/>
        <v>0.18500000000000003</v>
      </c>
      <c r="U26" s="61"/>
      <c r="V26" s="66"/>
      <c r="W26" s="61"/>
      <c r="X26" s="57">
        <f t="shared" si="8"/>
        <v>2.9600000000000005E-2</v>
      </c>
      <c r="Y26" s="63">
        <f t="shared" si="9"/>
        <v>113.56080000000001</v>
      </c>
      <c r="Z26" s="63">
        <f t="shared" si="10"/>
        <v>114.00480000000002</v>
      </c>
      <c r="AA26" s="64">
        <f t="shared" ref="AA26:AA27" si="25">418.45/1000</f>
        <v>0.41844999999999999</v>
      </c>
      <c r="AB26" s="65">
        <f t="shared" si="12"/>
        <v>7.1136500000000005E-2</v>
      </c>
      <c r="AC26" s="63">
        <v>0</v>
      </c>
      <c r="AD26" s="63">
        <f t="shared" si="13"/>
        <v>114.0503865</v>
      </c>
      <c r="AE26" s="63">
        <f t="shared" si="14"/>
        <v>114.49438650000002</v>
      </c>
      <c r="AF26" s="65">
        <f t="shared" si="15"/>
        <v>117.09178650000001</v>
      </c>
      <c r="AG26" s="34"/>
      <c r="AH26" s="37">
        <f t="shared" si="16"/>
        <v>2.9950000000000001</v>
      </c>
      <c r="AI26" s="46">
        <f t="shared" si="17"/>
        <v>3.0414000000000101</v>
      </c>
      <c r="AJ26" s="47">
        <f t="shared" si="18"/>
        <v>0.65860000000000007</v>
      </c>
      <c r="AK26" s="47">
        <f t="shared" si="19"/>
        <v>117.09178650000001</v>
      </c>
      <c r="AL26" s="47">
        <f t="shared" si="20"/>
        <v>0</v>
      </c>
    </row>
    <row r="27" spans="1:38" s="22" customFormat="1" ht="15" customHeight="1" x14ac:dyDescent="0.2">
      <c r="A27" s="39">
        <f t="shared" si="21"/>
        <v>19</v>
      </c>
      <c r="B27" s="38"/>
      <c r="C27" s="38" t="s">
        <v>42</v>
      </c>
      <c r="D27" s="4" t="s">
        <v>43</v>
      </c>
      <c r="E27" s="12" t="s">
        <v>25</v>
      </c>
      <c r="F27" s="57">
        <v>74.56</v>
      </c>
      <c r="G27" s="57">
        <v>0</v>
      </c>
      <c r="H27" s="57">
        <f t="shared" si="0"/>
        <v>74.56</v>
      </c>
      <c r="I27" s="57">
        <v>3.59</v>
      </c>
      <c r="J27" s="60">
        <f t="shared" si="1"/>
        <v>78.150000000000006</v>
      </c>
      <c r="K27" s="57">
        <v>2.81</v>
      </c>
      <c r="L27" s="57">
        <v>3.7</v>
      </c>
      <c r="M27" s="57">
        <f t="shared" si="2"/>
        <v>84.660000000000011</v>
      </c>
      <c r="N27" s="60">
        <v>15</v>
      </c>
      <c r="O27" s="60">
        <f t="shared" si="3"/>
        <v>99.660000000000011</v>
      </c>
      <c r="P27" s="57">
        <f t="shared" si="4"/>
        <v>16.942200000000003</v>
      </c>
      <c r="Q27" s="59">
        <f t="shared" si="5"/>
        <v>116.60220000000001</v>
      </c>
      <c r="R27" s="57">
        <f t="shared" si="6"/>
        <v>0.44400000000000001</v>
      </c>
      <c r="S27" s="57">
        <f t="shared" si="7"/>
        <v>0.88800000000000001</v>
      </c>
      <c r="T27" s="61">
        <f t="shared" si="24"/>
        <v>0.18500000000000003</v>
      </c>
      <c r="U27" s="61"/>
      <c r="V27" s="66"/>
      <c r="W27" s="61"/>
      <c r="X27" s="57">
        <f t="shared" si="8"/>
        <v>2.9600000000000005E-2</v>
      </c>
      <c r="Y27" s="63">
        <f t="shared" si="9"/>
        <v>113.56080000000001</v>
      </c>
      <c r="Z27" s="63">
        <f t="shared" si="10"/>
        <v>114.00480000000002</v>
      </c>
      <c r="AA27" s="64">
        <f t="shared" si="25"/>
        <v>0.41844999999999999</v>
      </c>
      <c r="AB27" s="65">
        <f t="shared" si="12"/>
        <v>7.1136500000000005E-2</v>
      </c>
      <c r="AC27" s="63">
        <v>0</v>
      </c>
      <c r="AD27" s="63">
        <f t="shared" si="13"/>
        <v>114.0503865</v>
      </c>
      <c r="AE27" s="63">
        <f t="shared" si="14"/>
        <v>114.49438650000002</v>
      </c>
      <c r="AF27" s="65">
        <f t="shared" si="15"/>
        <v>117.09178650000001</v>
      </c>
      <c r="AG27" s="34"/>
      <c r="AH27" s="37">
        <f t="shared" si="16"/>
        <v>2.9950000000000001</v>
      </c>
      <c r="AI27" s="46">
        <f t="shared" si="17"/>
        <v>3.0414000000000101</v>
      </c>
      <c r="AJ27" s="47">
        <f t="shared" si="18"/>
        <v>0.65860000000000007</v>
      </c>
      <c r="AK27" s="47">
        <f t="shared" si="19"/>
        <v>117.09178650000001</v>
      </c>
      <c r="AL27" s="47">
        <f t="shared" si="20"/>
        <v>0</v>
      </c>
    </row>
    <row r="28" spans="1:38" s="22" customFormat="1" ht="15" hidden="1" customHeight="1" x14ac:dyDescent="0.2">
      <c r="A28" s="79">
        <f t="shared" si="21"/>
        <v>20</v>
      </c>
      <c r="B28" s="3" t="s">
        <v>113</v>
      </c>
      <c r="C28" s="3" t="s">
        <v>114</v>
      </c>
      <c r="D28" s="4" t="s">
        <v>45</v>
      </c>
      <c r="E28" s="12" t="s">
        <v>16</v>
      </c>
      <c r="F28" s="57">
        <v>74.56</v>
      </c>
      <c r="G28" s="57">
        <v>0</v>
      </c>
      <c r="H28" s="57">
        <f t="shared" si="0"/>
        <v>74.56</v>
      </c>
      <c r="I28" s="57">
        <v>3.59</v>
      </c>
      <c r="J28" s="60">
        <f t="shared" si="1"/>
        <v>78.150000000000006</v>
      </c>
      <c r="K28" s="57">
        <v>2.81</v>
      </c>
      <c r="L28" s="57">
        <v>3.7</v>
      </c>
      <c r="M28" s="57">
        <f t="shared" si="2"/>
        <v>84.660000000000011</v>
      </c>
      <c r="N28" s="60">
        <v>15</v>
      </c>
      <c r="O28" s="81">
        <f t="shared" si="3"/>
        <v>99.660000000000011</v>
      </c>
      <c r="P28" s="57">
        <f t="shared" si="4"/>
        <v>16.942200000000003</v>
      </c>
      <c r="Q28" s="59">
        <f t="shared" si="5"/>
        <v>116.60220000000001</v>
      </c>
      <c r="R28" s="57">
        <f t="shared" si="6"/>
        <v>0.44400000000000001</v>
      </c>
      <c r="S28" s="57">
        <f t="shared" si="7"/>
        <v>0.88800000000000001</v>
      </c>
      <c r="T28" s="61">
        <f t="shared" si="24"/>
        <v>0.18500000000000003</v>
      </c>
      <c r="U28" s="61"/>
      <c r="V28" s="66"/>
      <c r="W28" s="61"/>
      <c r="X28" s="57">
        <f t="shared" si="8"/>
        <v>2.9600000000000005E-2</v>
      </c>
      <c r="Y28" s="63">
        <f t="shared" si="9"/>
        <v>113.56080000000001</v>
      </c>
      <c r="Z28" s="63">
        <f t="shared" si="10"/>
        <v>114.00480000000002</v>
      </c>
      <c r="AA28" s="64">
        <f>418.45/1000</f>
        <v>0.41844999999999999</v>
      </c>
      <c r="AB28" s="65">
        <f t="shared" si="12"/>
        <v>7.1136500000000005E-2</v>
      </c>
      <c r="AC28" s="63">
        <v>0</v>
      </c>
      <c r="AD28" s="63">
        <f t="shared" si="13"/>
        <v>114.0503865</v>
      </c>
      <c r="AE28" s="63">
        <f t="shared" si="14"/>
        <v>114.49438650000002</v>
      </c>
      <c r="AF28" s="65">
        <f t="shared" si="15"/>
        <v>117.09178650000001</v>
      </c>
      <c r="AG28" s="34"/>
      <c r="AH28" s="37">
        <f t="shared" si="16"/>
        <v>2.9950000000000001</v>
      </c>
      <c r="AI28" s="46">
        <f t="shared" si="17"/>
        <v>3.0414000000000101</v>
      </c>
      <c r="AJ28" s="47">
        <f t="shared" si="18"/>
        <v>0.65860000000000007</v>
      </c>
      <c r="AK28" s="47">
        <f t="shared" si="19"/>
        <v>117.09178650000001</v>
      </c>
      <c r="AL28" s="47">
        <f t="shared" si="20"/>
        <v>0</v>
      </c>
    </row>
    <row r="29" spans="1:38" s="22" customFormat="1" ht="15" hidden="1" customHeight="1" x14ac:dyDescent="0.2">
      <c r="A29" s="79">
        <f t="shared" si="21"/>
        <v>21</v>
      </c>
      <c r="B29" s="3" t="s">
        <v>122</v>
      </c>
      <c r="C29" s="3" t="s">
        <v>123</v>
      </c>
      <c r="D29" s="4" t="s">
        <v>15</v>
      </c>
      <c r="E29" s="12" t="s">
        <v>16</v>
      </c>
      <c r="F29" s="57">
        <v>74.56</v>
      </c>
      <c r="G29" s="57">
        <v>0</v>
      </c>
      <c r="H29" s="57">
        <f t="shared" si="0"/>
        <v>74.56</v>
      </c>
      <c r="I29" s="57">
        <v>3.59</v>
      </c>
      <c r="J29" s="60">
        <f t="shared" si="1"/>
        <v>78.150000000000006</v>
      </c>
      <c r="K29" s="57">
        <v>2.81</v>
      </c>
      <c r="L29" s="57">
        <v>3.7</v>
      </c>
      <c r="M29" s="57">
        <f t="shared" si="2"/>
        <v>84.660000000000011</v>
      </c>
      <c r="N29" s="60">
        <v>15</v>
      </c>
      <c r="O29" s="81">
        <f t="shared" si="3"/>
        <v>99.660000000000011</v>
      </c>
      <c r="P29" s="57">
        <f t="shared" si="4"/>
        <v>16.942200000000003</v>
      </c>
      <c r="Q29" s="59">
        <f t="shared" si="5"/>
        <v>116.60220000000001</v>
      </c>
      <c r="R29" s="57">
        <f t="shared" si="6"/>
        <v>0.44400000000000001</v>
      </c>
      <c r="S29" s="57">
        <f t="shared" si="7"/>
        <v>0.88800000000000001</v>
      </c>
      <c r="T29" s="61">
        <f t="shared" si="24"/>
        <v>0.18500000000000003</v>
      </c>
      <c r="U29" s="61"/>
      <c r="V29" s="66"/>
      <c r="W29" s="61"/>
      <c r="X29" s="57">
        <f t="shared" si="8"/>
        <v>2.9600000000000005E-2</v>
      </c>
      <c r="Y29" s="63">
        <f t="shared" si="9"/>
        <v>113.56080000000001</v>
      </c>
      <c r="Z29" s="63">
        <f t="shared" si="10"/>
        <v>114.00480000000002</v>
      </c>
      <c r="AA29" s="64">
        <f>174*3.0671/1000</f>
        <v>0.53367540000000002</v>
      </c>
      <c r="AB29" s="65">
        <f t="shared" si="12"/>
        <v>9.0724818000000013E-2</v>
      </c>
      <c r="AC29" s="63">
        <v>0</v>
      </c>
      <c r="AD29" s="63">
        <f t="shared" si="13"/>
        <v>114.18520021800002</v>
      </c>
      <c r="AE29" s="63">
        <f t="shared" si="14"/>
        <v>114.62920021800002</v>
      </c>
      <c r="AF29" s="65">
        <f t="shared" si="15"/>
        <v>117.22660021800002</v>
      </c>
      <c r="AG29" s="34"/>
      <c r="AH29" s="37">
        <f t="shared" si="16"/>
        <v>2.9950000000000001</v>
      </c>
      <c r="AI29" s="46">
        <f t="shared" si="17"/>
        <v>3.0413999999999959</v>
      </c>
      <c r="AJ29" s="47">
        <f t="shared" si="18"/>
        <v>0.65860000000000007</v>
      </c>
      <c r="AK29" s="47">
        <f t="shared" si="19"/>
        <v>117.22660021800002</v>
      </c>
      <c r="AL29" s="47">
        <f t="shared" si="20"/>
        <v>0</v>
      </c>
    </row>
    <row r="30" spans="1:38" s="22" customFormat="1" ht="15" hidden="1" customHeight="1" x14ac:dyDescent="0.2">
      <c r="A30" s="79">
        <f t="shared" si="21"/>
        <v>22</v>
      </c>
      <c r="B30" s="3" t="s">
        <v>120</v>
      </c>
      <c r="C30" s="3" t="s">
        <v>121</v>
      </c>
      <c r="D30" s="4" t="s">
        <v>15</v>
      </c>
      <c r="E30" s="12" t="s">
        <v>16</v>
      </c>
      <c r="F30" s="57">
        <v>74.56</v>
      </c>
      <c r="G30" s="57">
        <v>0</v>
      </c>
      <c r="H30" s="57">
        <f t="shared" si="0"/>
        <v>74.56</v>
      </c>
      <c r="I30" s="57">
        <v>3.59</v>
      </c>
      <c r="J30" s="60">
        <f t="shared" si="1"/>
        <v>78.150000000000006</v>
      </c>
      <c r="K30" s="57">
        <v>2.81</v>
      </c>
      <c r="L30" s="57">
        <v>3.7</v>
      </c>
      <c r="M30" s="57">
        <f t="shared" si="2"/>
        <v>84.660000000000011</v>
      </c>
      <c r="N30" s="60">
        <v>15</v>
      </c>
      <c r="O30" s="81">
        <f t="shared" si="3"/>
        <v>99.660000000000011</v>
      </c>
      <c r="P30" s="57">
        <f t="shared" si="4"/>
        <v>16.942200000000003</v>
      </c>
      <c r="Q30" s="59">
        <f t="shared" si="5"/>
        <v>116.60220000000001</v>
      </c>
      <c r="R30" s="57">
        <f t="shared" si="6"/>
        <v>0.44400000000000001</v>
      </c>
      <c r="S30" s="57">
        <f t="shared" si="7"/>
        <v>0.88800000000000001</v>
      </c>
      <c r="T30" s="61">
        <f t="shared" si="24"/>
        <v>0.18500000000000003</v>
      </c>
      <c r="U30" s="61"/>
      <c r="V30" s="66"/>
      <c r="W30" s="61"/>
      <c r="X30" s="57">
        <f t="shared" si="8"/>
        <v>2.9600000000000005E-2</v>
      </c>
      <c r="Y30" s="63">
        <f t="shared" si="9"/>
        <v>113.56080000000001</v>
      </c>
      <c r="Z30" s="63">
        <f t="shared" si="10"/>
        <v>114.00480000000002</v>
      </c>
      <c r="AA30" s="64">
        <f>174*3.0671/1000</f>
        <v>0.53367540000000002</v>
      </c>
      <c r="AB30" s="65">
        <f t="shared" si="12"/>
        <v>9.0724818000000013E-2</v>
      </c>
      <c r="AC30" s="63">
        <v>0</v>
      </c>
      <c r="AD30" s="63">
        <f t="shared" si="13"/>
        <v>114.18520021800002</v>
      </c>
      <c r="AE30" s="63">
        <f t="shared" si="14"/>
        <v>114.62920021800002</v>
      </c>
      <c r="AF30" s="65">
        <f t="shared" si="15"/>
        <v>117.22660021800002</v>
      </c>
      <c r="AG30" s="34"/>
      <c r="AH30" s="37">
        <f t="shared" si="16"/>
        <v>2.9950000000000001</v>
      </c>
      <c r="AI30" s="46">
        <f t="shared" si="17"/>
        <v>3.0413999999999959</v>
      </c>
      <c r="AJ30" s="47">
        <f t="shared" si="18"/>
        <v>0.65860000000000007</v>
      </c>
      <c r="AK30" s="47">
        <f t="shared" si="19"/>
        <v>117.22660021800002</v>
      </c>
      <c r="AL30" s="47">
        <f t="shared" si="20"/>
        <v>0</v>
      </c>
    </row>
    <row r="31" spans="1:38" s="22" customFormat="1" ht="15" customHeight="1" x14ac:dyDescent="0.2">
      <c r="A31" s="39">
        <f t="shared" si="21"/>
        <v>23</v>
      </c>
      <c r="B31" s="38"/>
      <c r="C31" s="38" t="s">
        <v>48</v>
      </c>
      <c r="D31" s="4"/>
      <c r="E31" s="12" t="s">
        <v>13</v>
      </c>
      <c r="F31" s="57">
        <v>74.56</v>
      </c>
      <c r="G31" s="57">
        <v>0</v>
      </c>
      <c r="H31" s="57">
        <f t="shared" si="0"/>
        <v>74.56</v>
      </c>
      <c r="I31" s="57">
        <v>3.59</v>
      </c>
      <c r="J31" s="60">
        <f t="shared" si="1"/>
        <v>78.150000000000006</v>
      </c>
      <c r="K31" s="57">
        <v>2.81</v>
      </c>
      <c r="L31" s="57">
        <v>3.7</v>
      </c>
      <c r="M31" s="57">
        <f t="shared" si="2"/>
        <v>84.660000000000011</v>
      </c>
      <c r="N31" s="60">
        <v>15</v>
      </c>
      <c r="O31" s="60">
        <f t="shared" si="3"/>
        <v>99.660000000000011</v>
      </c>
      <c r="P31" s="57">
        <f t="shared" si="4"/>
        <v>16.942200000000003</v>
      </c>
      <c r="Q31" s="59">
        <f t="shared" si="5"/>
        <v>116.60220000000001</v>
      </c>
      <c r="R31" s="57">
        <f t="shared" si="6"/>
        <v>0.44400000000000001</v>
      </c>
      <c r="S31" s="57">
        <f t="shared" si="7"/>
        <v>0.88800000000000001</v>
      </c>
      <c r="T31" s="61">
        <f t="shared" si="24"/>
        <v>0.18500000000000003</v>
      </c>
      <c r="U31" s="61"/>
      <c r="V31" s="66"/>
      <c r="W31" s="61"/>
      <c r="X31" s="57">
        <f t="shared" si="8"/>
        <v>2.9600000000000005E-2</v>
      </c>
      <c r="Y31" s="63">
        <f t="shared" si="9"/>
        <v>113.56080000000001</v>
      </c>
      <c r="Z31" s="63">
        <f t="shared" si="10"/>
        <v>114.00480000000002</v>
      </c>
      <c r="AA31" s="64">
        <f>350*3.0671/1000</f>
        <v>1.0734849999999998</v>
      </c>
      <c r="AB31" s="65">
        <f t="shared" si="12"/>
        <v>0.18249244999999997</v>
      </c>
      <c r="AC31" s="63">
        <v>0</v>
      </c>
      <c r="AD31" s="63">
        <f t="shared" si="13"/>
        <v>114.81677745000002</v>
      </c>
      <c r="AE31" s="63">
        <f t="shared" si="14"/>
        <v>115.26077745000002</v>
      </c>
      <c r="AF31" s="65">
        <f t="shared" si="15"/>
        <v>117.85817745000001</v>
      </c>
      <c r="AG31" s="34"/>
      <c r="AH31" s="37">
        <f t="shared" si="16"/>
        <v>2.9950000000000001</v>
      </c>
      <c r="AI31" s="46">
        <f t="shared" si="17"/>
        <v>3.0413999999999959</v>
      </c>
      <c r="AJ31" s="47">
        <f t="shared" si="18"/>
        <v>0.65860000000000007</v>
      </c>
      <c r="AK31" s="47">
        <f t="shared" si="19"/>
        <v>117.85817745000001</v>
      </c>
      <c r="AL31" s="47">
        <f t="shared" si="20"/>
        <v>0</v>
      </c>
    </row>
    <row r="32" spans="1:38" s="22" customFormat="1" ht="15" customHeight="1" x14ac:dyDescent="0.2">
      <c r="A32" s="39">
        <f t="shared" si="21"/>
        <v>24</v>
      </c>
      <c r="B32" s="38"/>
      <c r="C32" s="38" t="s">
        <v>49</v>
      </c>
      <c r="D32" s="4"/>
      <c r="E32" s="12" t="s">
        <v>21</v>
      </c>
      <c r="F32" s="57">
        <v>74.56</v>
      </c>
      <c r="G32" s="57">
        <v>0</v>
      </c>
      <c r="H32" s="57">
        <f t="shared" si="0"/>
        <v>74.56</v>
      </c>
      <c r="I32" s="57">
        <v>3.59</v>
      </c>
      <c r="J32" s="60">
        <f t="shared" si="1"/>
        <v>78.150000000000006</v>
      </c>
      <c r="K32" s="57">
        <v>2.81</v>
      </c>
      <c r="L32" s="57">
        <v>3.7</v>
      </c>
      <c r="M32" s="57">
        <f t="shared" si="2"/>
        <v>84.660000000000011</v>
      </c>
      <c r="N32" s="60">
        <v>15</v>
      </c>
      <c r="O32" s="60">
        <f t="shared" si="3"/>
        <v>99.660000000000011</v>
      </c>
      <c r="P32" s="57">
        <f t="shared" si="4"/>
        <v>16.942200000000003</v>
      </c>
      <c r="Q32" s="59">
        <f t="shared" si="5"/>
        <v>116.60220000000001</v>
      </c>
      <c r="R32" s="57">
        <f t="shared" si="6"/>
        <v>0.44400000000000001</v>
      </c>
      <c r="S32" s="57">
        <f t="shared" si="7"/>
        <v>0.88800000000000001</v>
      </c>
      <c r="T32" s="61">
        <f>L32*0.07</f>
        <v>0.25900000000000006</v>
      </c>
      <c r="U32" s="61"/>
      <c r="V32" s="61">
        <v>0.03</v>
      </c>
      <c r="W32" s="61"/>
      <c r="X32" s="57">
        <f t="shared" si="8"/>
        <v>4.6240000000000003E-2</v>
      </c>
      <c r="Y32" s="63">
        <f t="shared" si="9"/>
        <v>113.68144000000001</v>
      </c>
      <c r="Z32" s="63">
        <f t="shared" si="10"/>
        <v>114.12544000000001</v>
      </c>
      <c r="AA32" s="64">
        <f>240*3.0671/1000</f>
        <v>0.73610400000000009</v>
      </c>
      <c r="AB32" s="65">
        <f t="shared" si="12"/>
        <v>0.12513768000000003</v>
      </c>
      <c r="AC32" s="63">
        <v>0</v>
      </c>
      <c r="AD32" s="63">
        <f t="shared" si="13"/>
        <v>114.54268168</v>
      </c>
      <c r="AE32" s="63">
        <f t="shared" si="14"/>
        <v>114.98668168</v>
      </c>
      <c r="AF32" s="65">
        <f t="shared" si="15"/>
        <v>117.46344168</v>
      </c>
      <c r="AG32" s="34"/>
      <c r="AH32" s="37">
        <f t="shared" si="16"/>
        <v>3.0989999999999998</v>
      </c>
      <c r="AI32" s="46">
        <f t="shared" si="17"/>
        <v>2.9207600000000014</v>
      </c>
      <c r="AJ32" s="47">
        <f t="shared" si="18"/>
        <v>0.77924000000000015</v>
      </c>
      <c r="AK32" s="47">
        <f t="shared" si="19"/>
        <v>117.46344168</v>
      </c>
      <c r="AL32" s="47">
        <f t="shared" si="20"/>
        <v>0</v>
      </c>
    </row>
    <row r="33" spans="1:38" s="22" customFormat="1" ht="15" hidden="1" customHeight="1" x14ac:dyDescent="0.2">
      <c r="A33" s="79">
        <f t="shared" si="21"/>
        <v>25</v>
      </c>
      <c r="B33" s="3" t="s">
        <v>118</v>
      </c>
      <c r="C33" s="3" t="s">
        <v>119</v>
      </c>
      <c r="D33" s="4" t="s">
        <v>51</v>
      </c>
      <c r="E33" s="12" t="s">
        <v>13</v>
      </c>
      <c r="F33" s="57">
        <v>74.56</v>
      </c>
      <c r="G33" s="57">
        <v>0</v>
      </c>
      <c r="H33" s="57">
        <f t="shared" si="0"/>
        <v>74.56</v>
      </c>
      <c r="I33" s="57">
        <v>3.59</v>
      </c>
      <c r="J33" s="60">
        <f t="shared" si="1"/>
        <v>78.150000000000006</v>
      </c>
      <c r="K33" s="57">
        <v>2.81</v>
      </c>
      <c r="L33" s="57">
        <v>3.7</v>
      </c>
      <c r="M33" s="57">
        <f t="shared" si="2"/>
        <v>84.660000000000011</v>
      </c>
      <c r="N33" s="60">
        <v>15</v>
      </c>
      <c r="O33" s="81">
        <f t="shared" si="3"/>
        <v>99.660000000000011</v>
      </c>
      <c r="P33" s="57">
        <f t="shared" si="4"/>
        <v>16.942200000000003</v>
      </c>
      <c r="Q33" s="59">
        <f t="shared" si="5"/>
        <v>116.60220000000001</v>
      </c>
      <c r="R33" s="57">
        <f t="shared" si="6"/>
        <v>0.44400000000000001</v>
      </c>
      <c r="S33" s="57">
        <f t="shared" si="7"/>
        <v>0.88800000000000001</v>
      </c>
      <c r="T33" s="61">
        <f t="shared" ref="T33:T51" si="26">L33*0.05</f>
        <v>0.18500000000000003</v>
      </c>
      <c r="U33" s="61"/>
      <c r="V33" s="66"/>
      <c r="W33" s="61"/>
      <c r="X33" s="57">
        <f t="shared" si="8"/>
        <v>2.9600000000000005E-2</v>
      </c>
      <c r="Y33" s="63">
        <f t="shared" si="9"/>
        <v>113.56080000000001</v>
      </c>
      <c r="Z33" s="63">
        <f t="shared" si="10"/>
        <v>114.00480000000002</v>
      </c>
      <c r="AA33" s="64">
        <f>418.45/1000</f>
        <v>0.41844999999999999</v>
      </c>
      <c r="AB33" s="65">
        <f t="shared" si="12"/>
        <v>7.1136500000000005E-2</v>
      </c>
      <c r="AC33" s="63">
        <v>0</v>
      </c>
      <c r="AD33" s="63">
        <f t="shared" si="13"/>
        <v>114.0503865</v>
      </c>
      <c r="AE33" s="63">
        <f t="shared" si="14"/>
        <v>114.49438650000002</v>
      </c>
      <c r="AF33" s="65">
        <f t="shared" si="15"/>
        <v>117.09178650000001</v>
      </c>
      <c r="AG33" s="34"/>
      <c r="AH33" s="37">
        <f t="shared" si="16"/>
        <v>2.9950000000000001</v>
      </c>
      <c r="AI33" s="46">
        <f t="shared" si="17"/>
        <v>3.0414000000000101</v>
      </c>
      <c r="AJ33" s="47">
        <f t="shared" si="18"/>
        <v>0.65860000000000007</v>
      </c>
      <c r="AK33" s="47">
        <f t="shared" si="19"/>
        <v>117.09178650000001</v>
      </c>
      <c r="AL33" s="47">
        <f t="shared" si="20"/>
        <v>0</v>
      </c>
    </row>
    <row r="34" spans="1:38" s="22" customFormat="1" ht="15" customHeight="1" x14ac:dyDescent="0.2">
      <c r="A34" s="39">
        <f t="shared" si="21"/>
        <v>26</v>
      </c>
      <c r="B34" s="39"/>
      <c r="C34" s="38" t="s">
        <v>52</v>
      </c>
      <c r="D34" s="4" t="s">
        <v>53</v>
      </c>
      <c r="E34" s="12" t="s">
        <v>13</v>
      </c>
      <c r="F34" s="57">
        <v>74.56</v>
      </c>
      <c r="G34" s="57">
        <v>0</v>
      </c>
      <c r="H34" s="57">
        <f t="shared" si="0"/>
        <v>74.56</v>
      </c>
      <c r="I34" s="57">
        <v>3.59</v>
      </c>
      <c r="J34" s="60">
        <f t="shared" si="1"/>
        <v>78.150000000000006</v>
      </c>
      <c r="K34" s="57">
        <v>2.81</v>
      </c>
      <c r="L34" s="57">
        <v>3.7</v>
      </c>
      <c r="M34" s="57">
        <f t="shared" si="2"/>
        <v>84.660000000000011</v>
      </c>
      <c r="N34" s="60">
        <v>15</v>
      </c>
      <c r="O34" s="60">
        <f t="shared" si="3"/>
        <v>99.660000000000011</v>
      </c>
      <c r="P34" s="57">
        <f t="shared" si="4"/>
        <v>16.942200000000003</v>
      </c>
      <c r="Q34" s="59">
        <f t="shared" si="5"/>
        <v>116.60220000000001</v>
      </c>
      <c r="R34" s="57">
        <f t="shared" si="6"/>
        <v>0.44400000000000001</v>
      </c>
      <c r="S34" s="57">
        <f t="shared" si="7"/>
        <v>0.88800000000000001</v>
      </c>
      <c r="T34" s="61">
        <f t="shared" si="26"/>
        <v>0.18500000000000003</v>
      </c>
      <c r="U34" s="61"/>
      <c r="V34" s="66"/>
      <c r="W34" s="61"/>
      <c r="X34" s="57">
        <f t="shared" si="8"/>
        <v>2.9600000000000005E-2</v>
      </c>
      <c r="Y34" s="63">
        <f t="shared" si="9"/>
        <v>113.56080000000001</v>
      </c>
      <c r="Z34" s="63">
        <f t="shared" si="10"/>
        <v>114.00480000000002</v>
      </c>
      <c r="AA34" s="64">
        <f>3.0671/1000*310</f>
        <v>0.95080100000000001</v>
      </c>
      <c r="AB34" s="65">
        <f t="shared" si="12"/>
        <v>0.16163617000000002</v>
      </c>
      <c r="AC34" s="63">
        <v>0</v>
      </c>
      <c r="AD34" s="63">
        <f t="shared" si="13"/>
        <v>114.67323717000001</v>
      </c>
      <c r="AE34" s="63">
        <f t="shared" si="14"/>
        <v>115.11723717000001</v>
      </c>
      <c r="AF34" s="65">
        <f t="shared" si="15"/>
        <v>117.71463717</v>
      </c>
      <c r="AG34" s="34"/>
      <c r="AH34" s="37">
        <f t="shared" si="16"/>
        <v>2.9950000000000001</v>
      </c>
      <c r="AI34" s="46">
        <f t="shared" si="17"/>
        <v>3.0413999999999959</v>
      </c>
      <c r="AJ34" s="47">
        <f t="shared" si="18"/>
        <v>0.65860000000000007</v>
      </c>
      <c r="AK34" s="47">
        <f t="shared" si="19"/>
        <v>117.71463717</v>
      </c>
      <c r="AL34" s="47">
        <f t="shared" si="20"/>
        <v>0</v>
      </c>
    </row>
    <row r="35" spans="1:38" s="22" customFormat="1" ht="15" customHeight="1" x14ac:dyDescent="0.2">
      <c r="A35" s="39">
        <f t="shared" si="21"/>
        <v>27</v>
      </c>
      <c r="B35" s="39"/>
      <c r="C35" s="38" t="s">
        <v>54</v>
      </c>
      <c r="D35" s="4" t="s">
        <v>53</v>
      </c>
      <c r="E35" s="12" t="s">
        <v>16</v>
      </c>
      <c r="F35" s="57">
        <v>74.56</v>
      </c>
      <c r="G35" s="57">
        <v>0</v>
      </c>
      <c r="H35" s="57">
        <f t="shared" si="0"/>
        <v>74.56</v>
      </c>
      <c r="I35" s="57">
        <v>3.59</v>
      </c>
      <c r="J35" s="60">
        <f t="shared" si="1"/>
        <v>78.150000000000006</v>
      </c>
      <c r="K35" s="57">
        <v>2.81</v>
      </c>
      <c r="L35" s="57">
        <v>3.7</v>
      </c>
      <c r="M35" s="57">
        <f t="shared" si="2"/>
        <v>84.660000000000011</v>
      </c>
      <c r="N35" s="60">
        <v>15</v>
      </c>
      <c r="O35" s="60">
        <f t="shared" si="3"/>
        <v>99.660000000000011</v>
      </c>
      <c r="P35" s="57">
        <f t="shared" si="4"/>
        <v>16.942200000000003</v>
      </c>
      <c r="Q35" s="59">
        <f t="shared" si="5"/>
        <v>116.60220000000001</v>
      </c>
      <c r="R35" s="57">
        <f t="shared" si="6"/>
        <v>0.44400000000000001</v>
      </c>
      <c r="S35" s="57">
        <f t="shared" si="7"/>
        <v>0.88800000000000001</v>
      </c>
      <c r="T35" s="61">
        <f t="shared" si="26"/>
        <v>0.18500000000000003</v>
      </c>
      <c r="U35" s="61"/>
      <c r="V35" s="66"/>
      <c r="W35" s="61"/>
      <c r="X35" s="57">
        <f t="shared" si="8"/>
        <v>2.9600000000000005E-2</v>
      </c>
      <c r="Y35" s="63">
        <f t="shared" si="9"/>
        <v>113.56080000000001</v>
      </c>
      <c r="Z35" s="63">
        <f t="shared" si="10"/>
        <v>114.00480000000002</v>
      </c>
      <c r="AA35" s="64">
        <f>3.0671/1000*300</f>
        <v>0.92013</v>
      </c>
      <c r="AB35" s="65">
        <f t="shared" si="12"/>
        <v>0.15642210000000001</v>
      </c>
      <c r="AC35" s="63">
        <v>0</v>
      </c>
      <c r="AD35" s="63">
        <f t="shared" si="13"/>
        <v>114.63735210000002</v>
      </c>
      <c r="AE35" s="63">
        <f t="shared" si="14"/>
        <v>115.08135210000002</v>
      </c>
      <c r="AF35" s="65">
        <f t="shared" si="15"/>
        <v>117.67875210000001</v>
      </c>
      <c r="AG35" s="34"/>
      <c r="AH35" s="37">
        <f t="shared" si="16"/>
        <v>2.9950000000000001</v>
      </c>
      <c r="AI35" s="46">
        <f t="shared" si="17"/>
        <v>3.0413999999999959</v>
      </c>
      <c r="AJ35" s="47">
        <f t="shared" si="18"/>
        <v>0.65860000000000007</v>
      </c>
      <c r="AK35" s="47">
        <f t="shared" si="19"/>
        <v>117.67875210000001</v>
      </c>
      <c r="AL35" s="47">
        <f t="shared" si="20"/>
        <v>0</v>
      </c>
    </row>
    <row r="36" spans="1:38" s="22" customFormat="1" ht="15" hidden="1" customHeight="1" x14ac:dyDescent="0.2">
      <c r="A36" s="39">
        <f t="shared" si="21"/>
        <v>28</v>
      </c>
      <c r="B36" s="3" t="s">
        <v>148</v>
      </c>
      <c r="C36" s="80" t="s">
        <v>147</v>
      </c>
      <c r="D36" s="4" t="s">
        <v>152</v>
      </c>
      <c r="E36" s="12" t="s">
        <v>16</v>
      </c>
      <c r="F36" s="57">
        <v>74.56</v>
      </c>
      <c r="G36" s="57">
        <v>0</v>
      </c>
      <c r="H36" s="57">
        <f t="shared" si="0"/>
        <v>74.56</v>
      </c>
      <c r="I36" s="57">
        <v>3.59</v>
      </c>
      <c r="J36" s="60">
        <f t="shared" si="1"/>
        <v>78.150000000000006</v>
      </c>
      <c r="K36" s="57">
        <v>2.81</v>
      </c>
      <c r="L36" s="57">
        <v>3.7</v>
      </c>
      <c r="M36" s="57">
        <f t="shared" si="2"/>
        <v>84.660000000000011</v>
      </c>
      <c r="N36" s="60">
        <v>15</v>
      </c>
      <c r="O36" s="81">
        <f t="shared" si="3"/>
        <v>99.660000000000011</v>
      </c>
      <c r="P36" s="57">
        <f t="shared" si="4"/>
        <v>16.942200000000003</v>
      </c>
      <c r="Q36" s="59">
        <f t="shared" si="5"/>
        <v>116.60220000000001</v>
      </c>
      <c r="R36" s="57">
        <f t="shared" si="6"/>
        <v>0.44400000000000001</v>
      </c>
      <c r="S36" s="57">
        <f t="shared" si="7"/>
        <v>0.88800000000000001</v>
      </c>
      <c r="T36" s="61">
        <f t="shared" si="26"/>
        <v>0.18500000000000003</v>
      </c>
      <c r="U36" s="61"/>
      <c r="V36" s="66"/>
      <c r="W36" s="61"/>
      <c r="X36" s="57">
        <f t="shared" si="8"/>
        <v>2.9600000000000005E-2</v>
      </c>
      <c r="Y36" s="63">
        <f t="shared" si="9"/>
        <v>113.56080000000001</v>
      </c>
      <c r="Z36" s="63">
        <f t="shared" si="10"/>
        <v>114.00480000000002</v>
      </c>
      <c r="AA36" s="64">
        <f>418.45/1000</f>
        <v>0.41844999999999999</v>
      </c>
      <c r="AB36" s="65">
        <f t="shared" si="12"/>
        <v>7.1136500000000005E-2</v>
      </c>
      <c r="AC36" s="63">
        <v>0</v>
      </c>
      <c r="AD36" s="63">
        <f t="shared" si="13"/>
        <v>114.0503865</v>
      </c>
      <c r="AE36" s="63">
        <f t="shared" si="14"/>
        <v>114.49438650000002</v>
      </c>
      <c r="AF36" s="65">
        <f t="shared" si="15"/>
        <v>117.09178650000001</v>
      </c>
      <c r="AG36" s="34"/>
      <c r="AH36" s="37">
        <f t="shared" si="16"/>
        <v>2.9950000000000001</v>
      </c>
      <c r="AI36" s="46">
        <f t="shared" si="17"/>
        <v>3.0414000000000101</v>
      </c>
      <c r="AJ36" s="47">
        <f t="shared" si="18"/>
        <v>0.65860000000000007</v>
      </c>
      <c r="AK36" s="47">
        <f t="shared" si="19"/>
        <v>117.09178650000001</v>
      </c>
      <c r="AL36" s="47">
        <f t="shared" si="20"/>
        <v>0</v>
      </c>
    </row>
    <row r="37" spans="1:38" s="22" customFormat="1" ht="15" customHeight="1" x14ac:dyDescent="0.2">
      <c r="A37" s="39">
        <f t="shared" si="21"/>
        <v>29</v>
      </c>
      <c r="B37" s="39"/>
      <c r="C37" s="38" t="s">
        <v>57</v>
      </c>
      <c r="D37" s="4" t="s">
        <v>58</v>
      </c>
      <c r="E37" s="12" t="s">
        <v>16</v>
      </c>
      <c r="F37" s="57">
        <v>74.56</v>
      </c>
      <c r="G37" s="57">
        <v>0</v>
      </c>
      <c r="H37" s="57">
        <f t="shared" si="0"/>
        <v>74.56</v>
      </c>
      <c r="I37" s="57">
        <v>3.59</v>
      </c>
      <c r="J37" s="60">
        <f t="shared" si="1"/>
        <v>78.150000000000006</v>
      </c>
      <c r="K37" s="57">
        <v>2.81</v>
      </c>
      <c r="L37" s="57">
        <v>3.7</v>
      </c>
      <c r="M37" s="57">
        <f t="shared" si="2"/>
        <v>84.660000000000011</v>
      </c>
      <c r="N37" s="60">
        <v>15</v>
      </c>
      <c r="O37" s="60">
        <f t="shared" si="3"/>
        <v>99.660000000000011</v>
      </c>
      <c r="P37" s="57">
        <f t="shared" si="4"/>
        <v>16.942200000000003</v>
      </c>
      <c r="Q37" s="59">
        <f t="shared" si="5"/>
        <v>116.60220000000001</v>
      </c>
      <c r="R37" s="57">
        <f t="shared" si="6"/>
        <v>0.44400000000000001</v>
      </c>
      <c r="S37" s="57">
        <f t="shared" si="7"/>
        <v>0.88800000000000001</v>
      </c>
      <c r="T37" s="61">
        <f t="shared" si="26"/>
        <v>0.18500000000000003</v>
      </c>
      <c r="U37" s="61"/>
      <c r="V37" s="66"/>
      <c r="W37" s="61"/>
      <c r="X37" s="57">
        <f t="shared" si="8"/>
        <v>2.9600000000000005E-2</v>
      </c>
      <c r="Y37" s="63">
        <f t="shared" si="9"/>
        <v>113.56080000000001</v>
      </c>
      <c r="Z37" s="63">
        <f t="shared" si="10"/>
        <v>114.00480000000002</v>
      </c>
      <c r="AA37" s="64">
        <f>418.45/1000</f>
        <v>0.41844999999999999</v>
      </c>
      <c r="AB37" s="65">
        <f t="shared" si="12"/>
        <v>7.1136500000000005E-2</v>
      </c>
      <c r="AC37" s="63">
        <v>0</v>
      </c>
      <c r="AD37" s="63">
        <f t="shared" si="13"/>
        <v>114.0503865</v>
      </c>
      <c r="AE37" s="63">
        <f t="shared" si="14"/>
        <v>114.49438650000002</v>
      </c>
      <c r="AF37" s="65">
        <f t="shared" si="15"/>
        <v>117.09178650000001</v>
      </c>
      <c r="AG37" s="34"/>
      <c r="AH37" s="37">
        <f t="shared" si="16"/>
        <v>2.9950000000000001</v>
      </c>
      <c r="AI37" s="46">
        <f t="shared" si="17"/>
        <v>3.0414000000000101</v>
      </c>
      <c r="AJ37" s="47">
        <f t="shared" si="18"/>
        <v>0.65860000000000007</v>
      </c>
      <c r="AK37" s="47">
        <f t="shared" si="19"/>
        <v>117.09178650000001</v>
      </c>
      <c r="AL37" s="47">
        <f t="shared" si="20"/>
        <v>0</v>
      </c>
    </row>
    <row r="38" spans="1:38" s="22" customFormat="1" ht="15" customHeight="1" x14ac:dyDescent="0.2">
      <c r="A38" s="39">
        <f t="shared" si="21"/>
        <v>30</v>
      </c>
      <c r="B38" s="39"/>
      <c r="C38" s="38" t="s">
        <v>59</v>
      </c>
      <c r="D38" s="4" t="s">
        <v>60</v>
      </c>
      <c r="E38" s="12" t="s">
        <v>13</v>
      </c>
      <c r="F38" s="57">
        <v>74.56</v>
      </c>
      <c r="G38" s="57">
        <v>0</v>
      </c>
      <c r="H38" s="57">
        <f t="shared" si="0"/>
        <v>74.56</v>
      </c>
      <c r="I38" s="57">
        <v>3.59</v>
      </c>
      <c r="J38" s="60">
        <f t="shared" si="1"/>
        <v>78.150000000000006</v>
      </c>
      <c r="K38" s="57">
        <v>2.81</v>
      </c>
      <c r="L38" s="57">
        <v>3.7</v>
      </c>
      <c r="M38" s="57">
        <f t="shared" si="2"/>
        <v>84.660000000000011</v>
      </c>
      <c r="N38" s="60">
        <v>15</v>
      </c>
      <c r="O38" s="60">
        <f t="shared" si="3"/>
        <v>99.660000000000011</v>
      </c>
      <c r="P38" s="57">
        <f t="shared" si="4"/>
        <v>16.942200000000003</v>
      </c>
      <c r="Q38" s="59">
        <f t="shared" si="5"/>
        <v>116.60220000000001</v>
      </c>
      <c r="R38" s="57">
        <f t="shared" si="6"/>
        <v>0.44400000000000001</v>
      </c>
      <c r="S38" s="57">
        <f t="shared" si="7"/>
        <v>0.88800000000000001</v>
      </c>
      <c r="T38" s="61">
        <f t="shared" si="26"/>
        <v>0.18500000000000003</v>
      </c>
      <c r="U38" s="61"/>
      <c r="V38" s="66"/>
      <c r="W38" s="61"/>
      <c r="X38" s="57">
        <f t="shared" si="8"/>
        <v>2.9600000000000005E-2</v>
      </c>
      <c r="Y38" s="63">
        <f t="shared" si="9"/>
        <v>113.56080000000001</v>
      </c>
      <c r="Z38" s="63">
        <f t="shared" si="10"/>
        <v>114.00480000000002</v>
      </c>
      <c r="AA38" s="64">
        <f>418.45/1000</f>
        <v>0.41844999999999999</v>
      </c>
      <c r="AB38" s="65">
        <f t="shared" si="12"/>
        <v>7.1136500000000005E-2</v>
      </c>
      <c r="AC38" s="63">
        <v>0</v>
      </c>
      <c r="AD38" s="63">
        <f t="shared" si="13"/>
        <v>114.0503865</v>
      </c>
      <c r="AE38" s="63">
        <f t="shared" si="14"/>
        <v>114.49438650000002</v>
      </c>
      <c r="AF38" s="65">
        <f t="shared" si="15"/>
        <v>117.09178650000001</v>
      </c>
      <c r="AG38" s="34"/>
      <c r="AH38" s="37">
        <f t="shared" si="16"/>
        <v>2.9950000000000001</v>
      </c>
      <c r="AI38" s="46">
        <f t="shared" si="17"/>
        <v>3.0414000000000101</v>
      </c>
      <c r="AJ38" s="47">
        <f t="shared" si="18"/>
        <v>0.65860000000000007</v>
      </c>
      <c r="AK38" s="47">
        <f t="shared" si="19"/>
        <v>117.09178650000001</v>
      </c>
      <c r="AL38" s="47">
        <f t="shared" si="20"/>
        <v>0</v>
      </c>
    </row>
    <row r="39" spans="1:38" s="22" customFormat="1" ht="15" hidden="1" customHeight="1" x14ac:dyDescent="0.2">
      <c r="A39" s="79">
        <f t="shared" si="21"/>
        <v>31</v>
      </c>
      <c r="B39" s="3" t="s">
        <v>117</v>
      </c>
      <c r="C39" s="3" t="s">
        <v>145</v>
      </c>
      <c r="D39" s="4" t="s">
        <v>62</v>
      </c>
      <c r="E39" s="12" t="s">
        <v>13</v>
      </c>
      <c r="F39" s="57">
        <v>74.56</v>
      </c>
      <c r="G39" s="57">
        <v>0</v>
      </c>
      <c r="H39" s="57">
        <f t="shared" si="0"/>
        <v>74.56</v>
      </c>
      <c r="I39" s="57">
        <v>3.59</v>
      </c>
      <c r="J39" s="60">
        <f t="shared" si="1"/>
        <v>78.150000000000006</v>
      </c>
      <c r="K39" s="57">
        <v>2.81</v>
      </c>
      <c r="L39" s="57">
        <v>3.7</v>
      </c>
      <c r="M39" s="57">
        <f t="shared" si="2"/>
        <v>84.660000000000011</v>
      </c>
      <c r="N39" s="60">
        <v>15</v>
      </c>
      <c r="O39" s="81">
        <f t="shared" si="3"/>
        <v>99.660000000000011</v>
      </c>
      <c r="P39" s="57">
        <f t="shared" si="4"/>
        <v>16.942200000000003</v>
      </c>
      <c r="Q39" s="59">
        <f t="shared" si="5"/>
        <v>116.60220000000001</v>
      </c>
      <c r="R39" s="57">
        <f t="shared" si="6"/>
        <v>0.44400000000000001</v>
      </c>
      <c r="S39" s="57">
        <f t="shared" si="7"/>
        <v>0.88800000000000001</v>
      </c>
      <c r="T39" s="61">
        <f t="shared" si="26"/>
        <v>0.18500000000000003</v>
      </c>
      <c r="U39" s="61"/>
      <c r="V39" s="66"/>
      <c r="W39" s="61"/>
      <c r="X39" s="57">
        <f t="shared" si="8"/>
        <v>2.9600000000000005E-2</v>
      </c>
      <c r="Y39" s="63">
        <f t="shared" si="9"/>
        <v>113.56080000000001</v>
      </c>
      <c r="Z39" s="63">
        <f t="shared" si="10"/>
        <v>114.00480000000002</v>
      </c>
      <c r="AA39" s="64">
        <f>3.0671/1000*232</f>
        <v>0.71156720000000007</v>
      </c>
      <c r="AB39" s="65">
        <f t="shared" si="12"/>
        <v>0.12096642400000002</v>
      </c>
      <c r="AC39" s="63">
        <v>0</v>
      </c>
      <c r="AD39" s="63">
        <f t="shared" si="13"/>
        <v>114.39333362400002</v>
      </c>
      <c r="AE39" s="63">
        <f t="shared" si="14"/>
        <v>114.83733362400002</v>
      </c>
      <c r="AF39" s="65">
        <f t="shared" si="15"/>
        <v>117.43473362400002</v>
      </c>
      <c r="AG39" s="34"/>
      <c r="AH39" s="37">
        <f t="shared" si="16"/>
        <v>2.9950000000000001</v>
      </c>
      <c r="AI39" s="46">
        <f t="shared" si="17"/>
        <v>3.0413999999999959</v>
      </c>
      <c r="AJ39" s="47">
        <f t="shared" si="18"/>
        <v>0.65860000000000007</v>
      </c>
      <c r="AK39" s="47">
        <f t="shared" si="19"/>
        <v>117.43473362400002</v>
      </c>
      <c r="AL39" s="47">
        <f t="shared" si="20"/>
        <v>0</v>
      </c>
    </row>
    <row r="40" spans="1:38" s="22" customFormat="1" ht="15" customHeight="1" x14ac:dyDescent="0.2">
      <c r="A40" s="39">
        <f t="shared" si="21"/>
        <v>32</v>
      </c>
      <c r="B40" s="39"/>
      <c r="C40" s="38" t="s">
        <v>63</v>
      </c>
      <c r="D40" s="4"/>
      <c r="E40" s="12" t="s">
        <v>16</v>
      </c>
      <c r="F40" s="57">
        <v>74.56</v>
      </c>
      <c r="G40" s="57">
        <v>0</v>
      </c>
      <c r="H40" s="57">
        <f t="shared" si="0"/>
        <v>74.56</v>
      </c>
      <c r="I40" s="57">
        <v>3.59</v>
      </c>
      <c r="J40" s="60">
        <f t="shared" si="1"/>
        <v>78.150000000000006</v>
      </c>
      <c r="K40" s="57">
        <v>2.81</v>
      </c>
      <c r="L40" s="57">
        <v>3.7</v>
      </c>
      <c r="M40" s="57">
        <f t="shared" si="2"/>
        <v>84.660000000000011</v>
      </c>
      <c r="N40" s="60">
        <v>15</v>
      </c>
      <c r="O40" s="60">
        <f t="shared" si="3"/>
        <v>99.660000000000011</v>
      </c>
      <c r="P40" s="57">
        <f t="shared" si="4"/>
        <v>16.942200000000003</v>
      </c>
      <c r="Q40" s="59">
        <f t="shared" si="5"/>
        <v>116.60220000000001</v>
      </c>
      <c r="R40" s="57">
        <f t="shared" si="6"/>
        <v>0.44400000000000001</v>
      </c>
      <c r="S40" s="57">
        <f t="shared" si="7"/>
        <v>0.88800000000000001</v>
      </c>
      <c r="T40" s="61">
        <f t="shared" si="26"/>
        <v>0.18500000000000003</v>
      </c>
      <c r="U40" s="61"/>
      <c r="V40" s="66"/>
      <c r="W40" s="61"/>
      <c r="X40" s="57">
        <f t="shared" si="8"/>
        <v>2.9600000000000005E-2</v>
      </c>
      <c r="Y40" s="63">
        <f t="shared" si="9"/>
        <v>113.56080000000001</v>
      </c>
      <c r="Z40" s="63">
        <f t="shared" si="10"/>
        <v>114.00480000000002</v>
      </c>
      <c r="AA40" s="64">
        <f t="shared" ref="AA40:AA42" si="27">418.45/1000</f>
        <v>0.41844999999999999</v>
      </c>
      <c r="AB40" s="65">
        <f t="shared" si="12"/>
        <v>7.1136500000000005E-2</v>
      </c>
      <c r="AC40" s="63">
        <v>0</v>
      </c>
      <c r="AD40" s="63">
        <f t="shared" si="13"/>
        <v>114.0503865</v>
      </c>
      <c r="AE40" s="63">
        <f t="shared" si="14"/>
        <v>114.49438650000002</v>
      </c>
      <c r="AF40" s="65">
        <f t="shared" si="15"/>
        <v>117.09178650000001</v>
      </c>
      <c r="AG40" s="34"/>
      <c r="AH40" s="37">
        <f t="shared" si="16"/>
        <v>2.9950000000000001</v>
      </c>
      <c r="AI40" s="46">
        <f t="shared" si="17"/>
        <v>3.0414000000000101</v>
      </c>
      <c r="AJ40" s="47">
        <f t="shared" si="18"/>
        <v>0.65860000000000007</v>
      </c>
      <c r="AK40" s="47">
        <f t="shared" si="19"/>
        <v>117.09178650000001</v>
      </c>
      <c r="AL40" s="47">
        <f t="shared" si="20"/>
        <v>0</v>
      </c>
    </row>
    <row r="41" spans="1:38" s="22" customFormat="1" ht="15" customHeight="1" x14ac:dyDescent="0.2">
      <c r="A41" s="39">
        <f t="shared" si="21"/>
        <v>33</v>
      </c>
      <c r="B41" s="39"/>
      <c r="C41" s="38" t="s">
        <v>64</v>
      </c>
      <c r="D41" s="4" t="s">
        <v>31</v>
      </c>
      <c r="E41" s="12" t="s">
        <v>13</v>
      </c>
      <c r="F41" s="57">
        <v>74.56</v>
      </c>
      <c r="G41" s="57">
        <v>0</v>
      </c>
      <c r="H41" s="57">
        <f t="shared" si="0"/>
        <v>74.56</v>
      </c>
      <c r="I41" s="57">
        <v>3.59</v>
      </c>
      <c r="J41" s="60">
        <f t="shared" si="1"/>
        <v>78.150000000000006</v>
      </c>
      <c r="K41" s="57">
        <v>2.81</v>
      </c>
      <c r="L41" s="57">
        <v>3.7</v>
      </c>
      <c r="M41" s="57">
        <f t="shared" si="2"/>
        <v>84.660000000000011</v>
      </c>
      <c r="N41" s="60">
        <v>15</v>
      </c>
      <c r="O41" s="60">
        <f t="shared" si="3"/>
        <v>99.660000000000011</v>
      </c>
      <c r="P41" s="57">
        <f t="shared" si="4"/>
        <v>16.942200000000003</v>
      </c>
      <c r="Q41" s="59">
        <f t="shared" si="5"/>
        <v>116.60220000000001</v>
      </c>
      <c r="R41" s="57">
        <f t="shared" si="6"/>
        <v>0.44400000000000001</v>
      </c>
      <c r="S41" s="57">
        <f t="shared" si="7"/>
        <v>0.88800000000000001</v>
      </c>
      <c r="T41" s="61">
        <f t="shared" si="26"/>
        <v>0.18500000000000003</v>
      </c>
      <c r="U41" s="61"/>
      <c r="V41" s="66"/>
      <c r="W41" s="61"/>
      <c r="X41" s="57">
        <f t="shared" si="8"/>
        <v>2.9600000000000005E-2</v>
      </c>
      <c r="Y41" s="63">
        <f t="shared" si="9"/>
        <v>113.56080000000001</v>
      </c>
      <c r="Z41" s="63">
        <f t="shared" si="10"/>
        <v>114.00480000000002</v>
      </c>
      <c r="AA41" s="64">
        <f t="shared" si="27"/>
        <v>0.41844999999999999</v>
      </c>
      <c r="AB41" s="65">
        <f t="shared" si="12"/>
        <v>7.1136500000000005E-2</v>
      </c>
      <c r="AC41" s="63">
        <v>0</v>
      </c>
      <c r="AD41" s="63">
        <f t="shared" si="13"/>
        <v>114.0503865</v>
      </c>
      <c r="AE41" s="63">
        <f t="shared" si="14"/>
        <v>114.49438650000002</v>
      </c>
      <c r="AF41" s="65">
        <f t="shared" si="15"/>
        <v>117.09178650000001</v>
      </c>
      <c r="AG41" s="34"/>
      <c r="AH41" s="37">
        <f t="shared" si="16"/>
        <v>2.9950000000000001</v>
      </c>
      <c r="AI41" s="46">
        <f t="shared" si="17"/>
        <v>3.0414000000000101</v>
      </c>
      <c r="AJ41" s="47">
        <f t="shared" si="18"/>
        <v>0.65860000000000007</v>
      </c>
      <c r="AK41" s="47">
        <f t="shared" si="19"/>
        <v>117.09178650000001</v>
      </c>
      <c r="AL41" s="47">
        <f t="shared" si="20"/>
        <v>0</v>
      </c>
    </row>
    <row r="42" spans="1:38" s="22" customFormat="1" ht="15" customHeight="1" x14ac:dyDescent="0.2">
      <c r="A42" s="39">
        <f t="shared" si="21"/>
        <v>34</v>
      </c>
      <c r="B42" s="39"/>
      <c r="C42" s="38" t="s">
        <v>65</v>
      </c>
      <c r="D42" s="4" t="s">
        <v>66</v>
      </c>
      <c r="E42" s="12" t="s">
        <v>13</v>
      </c>
      <c r="F42" s="57">
        <v>74.56</v>
      </c>
      <c r="G42" s="57">
        <v>0</v>
      </c>
      <c r="H42" s="57">
        <f t="shared" si="0"/>
        <v>74.56</v>
      </c>
      <c r="I42" s="57">
        <v>3.59</v>
      </c>
      <c r="J42" s="60">
        <f t="shared" si="1"/>
        <v>78.150000000000006</v>
      </c>
      <c r="K42" s="57">
        <v>2.81</v>
      </c>
      <c r="L42" s="57">
        <v>3.7</v>
      </c>
      <c r="M42" s="57">
        <f t="shared" si="2"/>
        <v>84.660000000000011</v>
      </c>
      <c r="N42" s="60">
        <v>15</v>
      </c>
      <c r="O42" s="60">
        <f t="shared" si="3"/>
        <v>99.660000000000011</v>
      </c>
      <c r="P42" s="57">
        <f t="shared" si="4"/>
        <v>16.942200000000003</v>
      </c>
      <c r="Q42" s="59">
        <f t="shared" si="5"/>
        <v>116.60220000000001</v>
      </c>
      <c r="R42" s="57">
        <f t="shared" si="6"/>
        <v>0.44400000000000001</v>
      </c>
      <c r="S42" s="57">
        <f t="shared" si="7"/>
        <v>0.88800000000000001</v>
      </c>
      <c r="T42" s="61">
        <f t="shared" si="26"/>
        <v>0.18500000000000003</v>
      </c>
      <c r="U42" s="61"/>
      <c r="V42" s="66"/>
      <c r="W42" s="61"/>
      <c r="X42" s="57">
        <f t="shared" si="8"/>
        <v>2.9600000000000005E-2</v>
      </c>
      <c r="Y42" s="63">
        <f t="shared" si="9"/>
        <v>113.56080000000001</v>
      </c>
      <c r="Z42" s="63">
        <f t="shared" si="10"/>
        <v>114.00480000000002</v>
      </c>
      <c r="AA42" s="64">
        <f t="shared" si="27"/>
        <v>0.41844999999999999</v>
      </c>
      <c r="AB42" s="65">
        <f t="shared" si="12"/>
        <v>7.1136500000000005E-2</v>
      </c>
      <c r="AC42" s="63">
        <v>0</v>
      </c>
      <c r="AD42" s="63">
        <f t="shared" si="13"/>
        <v>114.0503865</v>
      </c>
      <c r="AE42" s="63">
        <f t="shared" si="14"/>
        <v>114.49438650000002</v>
      </c>
      <c r="AF42" s="65">
        <f t="shared" si="15"/>
        <v>117.09178650000001</v>
      </c>
      <c r="AG42" s="34"/>
      <c r="AH42" s="37">
        <f t="shared" si="16"/>
        <v>2.9950000000000001</v>
      </c>
      <c r="AI42" s="46">
        <f t="shared" si="17"/>
        <v>3.0414000000000101</v>
      </c>
      <c r="AJ42" s="47">
        <f t="shared" si="18"/>
        <v>0.65860000000000007</v>
      </c>
      <c r="AK42" s="47">
        <f t="shared" si="19"/>
        <v>117.09178650000001</v>
      </c>
      <c r="AL42" s="47">
        <f t="shared" si="20"/>
        <v>0</v>
      </c>
    </row>
    <row r="43" spans="1:38" s="22" customFormat="1" ht="15" customHeight="1" x14ac:dyDescent="0.2">
      <c r="A43" s="39">
        <f t="shared" si="21"/>
        <v>35</v>
      </c>
      <c r="B43" s="39"/>
      <c r="C43" s="38" t="s">
        <v>67</v>
      </c>
      <c r="D43" s="4" t="s">
        <v>66</v>
      </c>
      <c r="E43" s="12" t="s">
        <v>13</v>
      </c>
      <c r="F43" s="57">
        <v>74.56</v>
      </c>
      <c r="G43" s="57">
        <v>0</v>
      </c>
      <c r="H43" s="57">
        <f t="shared" si="0"/>
        <v>74.56</v>
      </c>
      <c r="I43" s="57">
        <v>3.59</v>
      </c>
      <c r="J43" s="60">
        <f t="shared" si="1"/>
        <v>78.150000000000006</v>
      </c>
      <c r="K43" s="57">
        <v>2.81</v>
      </c>
      <c r="L43" s="57">
        <v>3.7</v>
      </c>
      <c r="M43" s="57">
        <f t="shared" si="2"/>
        <v>84.660000000000011</v>
      </c>
      <c r="N43" s="60">
        <v>15</v>
      </c>
      <c r="O43" s="60">
        <f t="shared" si="3"/>
        <v>99.660000000000011</v>
      </c>
      <c r="P43" s="57">
        <f t="shared" si="4"/>
        <v>16.942200000000003</v>
      </c>
      <c r="Q43" s="59">
        <f t="shared" si="5"/>
        <v>116.60220000000001</v>
      </c>
      <c r="R43" s="57">
        <f t="shared" si="6"/>
        <v>0.44400000000000001</v>
      </c>
      <c r="S43" s="57">
        <f t="shared" si="7"/>
        <v>0.88800000000000001</v>
      </c>
      <c r="T43" s="61">
        <f t="shared" si="26"/>
        <v>0.18500000000000003</v>
      </c>
      <c r="U43" s="61"/>
      <c r="V43" s="66"/>
      <c r="W43" s="61"/>
      <c r="X43" s="57">
        <f t="shared" si="8"/>
        <v>2.9600000000000005E-2</v>
      </c>
      <c r="Y43" s="63">
        <f t="shared" si="9"/>
        <v>113.56080000000001</v>
      </c>
      <c r="Z43" s="63">
        <f t="shared" si="10"/>
        <v>114.00480000000002</v>
      </c>
      <c r="AA43" s="64">
        <f>3.0671/1000*160</f>
        <v>0.49073600000000001</v>
      </c>
      <c r="AB43" s="65">
        <f t="shared" si="12"/>
        <v>8.3425120000000005E-2</v>
      </c>
      <c r="AC43" s="63">
        <v>0</v>
      </c>
      <c r="AD43" s="63">
        <f t="shared" si="13"/>
        <v>114.13496112000001</v>
      </c>
      <c r="AE43" s="63">
        <f t="shared" si="14"/>
        <v>114.57896112000002</v>
      </c>
      <c r="AF43" s="65">
        <f t="shared" si="15"/>
        <v>117.17636112000001</v>
      </c>
      <c r="AG43" s="34"/>
      <c r="AH43" s="37">
        <f t="shared" si="16"/>
        <v>2.9950000000000001</v>
      </c>
      <c r="AI43" s="46">
        <f t="shared" si="17"/>
        <v>3.0413999999999959</v>
      </c>
      <c r="AJ43" s="47">
        <f t="shared" si="18"/>
        <v>0.65860000000000007</v>
      </c>
      <c r="AK43" s="47">
        <f t="shared" si="19"/>
        <v>117.17636112000001</v>
      </c>
      <c r="AL43" s="47">
        <f t="shared" si="20"/>
        <v>0</v>
      </c>
    </row>
    <row r="44" spans="1:38" s="22" customFormat="1" ht="15" customHeight="1" x14ac:dyDescent="0.2">
      <c r="A44" s="39">
        <f t="shared" si="21"/>
        <v>36</v>
      </c>
      <c r="B44" s="39"/>
      <c r="C44" s="38" t="s">
        <v>68</v>
      </c>
      <c r="D44" s="4" t="s">
        <v>66</v>
      </c>
      <c r="E44" s="12" t="s">
        <v>16</v>
      </c>
      <c r="F44" s="57">
        <v>74.56</v>
      </c>
      <c r="G44" s="57">
        <v>0</v>
      </c>
      <c r="H44" s="57">
        <f t="shared" si="0"/>
        <v>74.56</v>
      </c>
      <c r="I44" s="57">
        <v>3.59</v>
      </c>
      <c r="J44" s="60">
        <f t="shared" si="1"/>
        <v>78.150000000000006</v>
      </c>
      <c r="K44" s="57">
        <v>2.81</v>
      </c>
      <c r="L44" s="57">
        <v>3.7</v>
      </c>
      <c r="M44" s="57">
        <f t="shared" si="2"/>
        <v>84.660000000000011</v>
      </c>
      <c r="N44" s="60">
        <v>15</v>
      </c>
      <c r="O44" s="60">
        <f t="shared" si="3"/>
        <v>99.660000000000011</v>
      </c>
      <c r="P44" s="57">
        <f t="shared" si="4"/>
        <v>16.942200000000003</v>
      </c>
      <c r="Q44" s="59">
        <f t="shared" si="5"/>
        <v>116.60220000000001</v>
      </c>
      <c r="R44" s="57">
        <f t="shared" si="6"/>
        <v>0.44400000000000001</v>
      </c>
      <c r="S44" s="57">
        <f t="shared" si="7"/>
        <v>0.88800000000000001</v>
      </c>
      <c r="T44" s="61">
        <f t="shared" si="26"/>
        <v>0.18500000000000003</v>
      </c>
      <c r="U44" s="61"/>
      <c r="V44" s="67">
        <v>0.02</v>
      </c>
      <c r="W44" s="61"/>
      <c r="X44" s="57">
        <f t="shared" si="8"/>
        <v>3.2800000000000003E-2</v>
      </c>
      <c r="Y44" s="63">
        <f t="shared" si="9"/>
        <v>113.584</v>
      </c>
      <c r="Z44" s="63">
        <f t="shared" si="10"/>
        <v>114.02800000000001</v>
      </c>
      <c r="AA44" s="64">
        <f>418.45/1000</f>
        <v>0.41844999999999999</v>
      </c>
      <c r="AB44" s="65">
        <f t="shared" si="12"/>
        <v>7.1136500000000005E-2</v>
      </c>
      <c r="AC44" s="63">
        <v>0</v>
      </c>
      <c r="AD44" s="63">
        <f t="shared" si="13"/>
        <v>114.0735865</v>
      </c>
      <c r="AE44" s="63">
        <f t="shared" si="14"/>
        <v>114.51758649999999</v>
      </c>
      <c r="AF44" s="65">
        <f t="shared" si="15"/>
        <v>117.09178650000001</v>
      </c>
      <c r="AG44" s="34"/>
      <c r="AH44" s="37">
        <f t="shared" si="16"/>
        <v>3.0150000000000001</v>
      </c>
      <c r="AI44" s="46">
        <f t="shared" si="17"/>
        <v>3.0182000000000073</v>
      </c>
      <c r="AJ44" s="47">
        <f t="shared" si="18"/>
        <v>0.68179999999999996</v>
      </c>
      <c r="AK44" s="47">
        <f t="shared" si="19"/>
        <v>117.09178650000001</v>
      </c>
      <c r="AL44" s="47">
        <f t="shared" si="20"/>
        <v>0</v>
      </c>
    </row>
    <row r="45" spans="1:38" s="22" customFormat="1" ht="15" customHeight="1" x14ac:dyDescent="0.2">
      <c r="A45" s="39">
        <f t="shared" si="21"/>
        <v>37</v>
      </c>
      <c r="B45" s="39"/>
      <c r="C45" s="38" t="s">
        <v>69</v>
      </c>
      <c r="D45" s="4" t="s">
        <v>70</v>
      </c>
      <c r="E45" s="12" t="s">
        <v>13</v>
      </c>
      <c r="F45" s="57">
        <v>74.56</v>
      </c>
      <c r="G45" s="57">
        <v>0</v>
      </c>
      <c r="H45" s="57">
        <f t="shared" si="0"/>
        <v>74.56</v>
      </c>
      <c r="I45" s="57">
        <v>3.59</v>
      </c>
      <c r="J45" s="60">
        <f t="shared" si="1"/>
        <v>78.150000000000006</v>
      </c>
      <c r="K45" s="57">
        <v>2.81</v>
      </c>
      <c r="L45" s="57">
        <v>3.7</v>
      </c>
      <c r="M45" s="57">
        <f t="shared" si="2"/>
        <v>84.660000000000011</v>
      </c>
      <c r="N45" s="60">
        <v>15</v>
      </c>
      <c r="O45" s="60">
        <f t="shared" si="3"/>
        <v>99.660000000000011</v>
      </c>
      <c r="P45" s="57">
        <f t="shared" si="4"/>
        <v>16.942200000000003</v>
      </c>
      <c r="Q45" s="59">
        <f t="shared" si="5"/>
        <v>116.60220000000001</v>
      </c>
      <c r="R45" s="57">
        <f t="shared" si="6"/>
        <v>0.44400000000000001</v>
      </c>
      <c r="S45" s="57">
        <f t="shared" si="7"/>
        <v>0.88800000000000001</v>
      </c>
      <c r="T45" s="61">
        <f t="shared" si="26"/>
        <v>0.18500000000000003</v>
      </c>
      <c r="U45" s="61"/>
      <c r="V45" s="68"/>
      <c r="W45" s="61"/>
      <c r="X45" s="57">
        <f t="shared" si="8"/>
        <v>2.9600000000000005E-2</v>
      </c>
      <c r="Y45" s="63">
        <f t="shared" si="9"/>
        <v>113.56080000000001</v>
      </c>
      <c r="Z45" s="63">
        <f t="shared" si="10"/>
        <v>114.00480000000002</v>
      </c>
      <c r="AA45" s="64">
        <f>3.0671/1000*400</f>
        <v>1.2268400000000002</v>
      </c>
      <c r="AB45" s="65">
        <f t="shared" si="12"/>
        <v>0.20856280000000005</v>
      </c>
      <c r="AC45" s="63">
        <v>0</v>
      </c>
      <c r="AD45" s="63">
        <f t="shared" si="13"/>
        <v>114.99620280000001</v>
      </c>
      <c r="AE45" s="63">
        <f t="shared" si="14"/>
        <v>115.44020280000001</v>
      </c>
      <c r="AF45" s="65">
        <f t="shared" si="15"/>
        <v>118.0376028</v>
      </c>
      <c r="AG45" s="34"/>
      <c r="AH45" s="37">
        <f t="shared" si="16"/>
        <v>2.9950000000000001</v>
      </c>
      <c r="AI45" s="46">
        <f t="shared" si="17"/>
        <v>3.0413999999999959</v>
      </c>
      <c r="AJ45" s="47">
        <f t="shared" si="18"/>
        <v>0.65860000000000007</v>
      </c>
      <c r="AK45" s="47">
        <f t="shared" si="19"/>
        <v>118.0376028</v>
      </c>
      <c r="AL45" s="47">
        <f t="shared" si="20"/>
        <v>0</v>
      </c>
    </row>
    <row r="46" spans="1:38" s="22" customFormat="1" ht="15" customHeight="1" x14ac:dyDescent="0.2">
      <c r="A46" s="39">
        <f t="shared" si="21"/>
        <v>38</v>
      </c>
      <c r="B46" s="39"/>
      <c r="C46" s="38" t="s">
        <v>71</v>
      </c>
      <c r="D46" s="4" t="s">
        <v>70</v>
      </c>
      <c r="E46" s="12" t="s">
        <v>13</v>
      </c>
      <c r="F46" s="57">
        <v>74.56</v>
      </c>
      <c r="G46" s="57">
        <v>0</v>
      </c>
      <c r="H46" s="57">
        <f t="shared" si="0"/>
        <v>74.56</v>
      </c>
      <c r="I46" s="57">
        <v>3.59</v>
      </c>
      <c r="J46" s="60">
        <f t="shared" si="1"/>
        <v>78.150000000000006</v>
      </c>
      <c r="K46" s="57">
        <v>2.81</v>
      </c>
      <c r="L46" s="57">
        <v>3.7</v>
      </c>
      <c r="M46" s="57">
        <f t="shared" si="2"/>
        <v>84.660000000000011</v>
      </c>
      <c r="N46" s="60">
        <v>15</v>
      </c>
      <c r="O46" s="60">
        <f t="shared" si="3"/>
        <v>99.660000000000011</v>
      </c>
      <c r="P46" s="57">
        <f t="shared" si="4"/>
        <v>16.942200000000003</v>
      </c>
      <c r="Q46" s="59">
        <f t="shared" si="5"/>
        <v>116.60220000000001</v>
      </c>
      <c r="R46" s="57">
        <f t="shared" si="6"/>
        <v>0.44400000000000001</v>
      </c>
      <c r="S46" s="57">
        <f t="shared" si="7"/>
        <v>0.88800000000000001</v>
      </c>
      <c r="T46" s="61">
        <f t="shared" si="26"/>
        <v>0.18500000000000003</v>
      </c>
      <c r="U46" s="61"/>
      <c r="V46" s="66"/>
      <c r="W46" s="61"/>
      <c r="X46" s="57">
        <f t="shared" si="8"/>
        <v>2.9600000000000005E-2</v>
      </c>
      <c r="Y46" s="63">
        <f t="shared" si="9"/>
        <v>113.56080000000001</v>
      </c>
      <c r="Z46" s="63">
        <f t="shared" si="10"/>
        <v>114.00480000000002</v>
      </c>
      <c r="AA46" s="64">
        <f>3.0671/1000*300</f>
        <v>0.92013</v>
      </c>
      <c r="AB46" s="65">
        <f t="shared" si="12"/>
        <v>0.15642210000000001</v>
      </c>
      <c r="AC46" s="63">
        <v>0</v>
      </c>
      <c r="AD46" s="63">
        <f t="shared" si="13"/>
        <v>114.63735210000002</v>
      </c>
      <c r="AE46" s="63">
        <f t="shared" si="14"/>
        <v>115.08135210000002</v>
      </c>
      <c r="AF46" s="65">
        <f t="shared" si="15"/>
        <v>117.67875210000001</v>
      </c>
      <c r="AG46" s="34"/>
      <c r="AH46" s="37">
        <f t="shared" si="16"/>
        <v>2.9950000000000001</v>
      </c>
      <c r="AI46" s="46">
        <f t="shared" si="17"/>
        <v>3.0413999999999959</v>
      </c>
      <c r="AJ46" s="47">
        <f t="shared" si="18"/>
        <v>0.65860000000000007</v>
      </c>
      <c r="AK46" s="47">
        <f t="shared" si="19"/>
        <v>117.67875210000001</v>
      </c>
      <c r="AL46" s="47">
        <f t="shared" si="20"/>
        <v>0</v>
      </c>
    </row>
    <row r="47" spans="1:38" s="22" customFormat="1" ht="15" customHeight="1" x14ac:dyDescent="0.2">
      <c r="A47" s="39">
        <f t="shared" si="21"/>
        <v>39</v>
      </c>
      <c r="B47" s="39"/>
      <c r="C47" s="38" t="s">
        <v>72</v>
      </c>
      <c r="D47" s="4" t="s">
        <v>31</v>
      </c>
      <c r="E47" s="12" t="s">
        <v>13</v>
      </c>
      <c r="F47" s="57">
        <v>74.56</v>
      </c>
      <c r="G47" s="57">
        <v>0</v>
      </c>
      <c r="H47" s="57">
        <f t="shared" si="0"/>
        <v>74.56</v>
      </c>
      <c r="I47" s="57">
        <v>3.59</v>
      </c>
      <c r="J47" s="60">
        <f t="shared" si="1"/>
        <v>78.150000000000006</v>
      </c>
      <c r="K47" s="57">
        <v>2.81</v>
      </c>
      <c r="L47" s="57">
        <v>3.7</v>
      </c>
      <c r="M47" s="57">
        <f t="shared" si="2"/>
        <v>84.660000000000011</v>
      </c>
      <c r="N47" s="60">
        <v>15</v>
      </c>
      <c r="O47" s="60">
        <f t="shared" si="3"/>
        <v>99.660000000000011</v>
      </c>
      <c r="P47" s="57">
        <f t="shared" si="4"/>
        <v>16.942200000000003</v>
      </c>
      <c r="Q47" s="59">
        <f t="shared" si="5"/>
        <v>116.60220000000001</v>
      </c>
      <c r="R47" s="57">
        <f t="shared" si="6"/>
        <v>0.44400000000000001</v>
      </c>
      <c r="S47" s="57">
        <f t="shared" si="7"/>
        <v>0.88800000000000001</v>
      </c>
      <c r="T47" s="61">
        <f t="shared" si="26"/>
        <v>0.18500000000000003</v>
      </c>
      <c r="U47" s="61"/>
      <c r="V47" s="66"/>
      <c r="W47" s="61"/>
      <c r="X47" s="57">
        <f t="shared" si="8"/>
        <v>2.9600000000000005E-2</v>
      </c>
      <c r="Y47" s="63">
        <f t="shared" si="9"/>
        <v>113.56080000000001</v>
      </c>
      <c r="Z47" s="63">
        <f t="shared" si="10"/>
        <v>114.00480000000002</v>
      </c>
      <c r="AA47" s="64">
        <f>3.0671/1000*200</f>
        <v>0.61342000000000008</v>
      </c>
      <c r="AB47" s="65">
        <f t="shared" si="12"/>
        <v>0.10428140000000002</v>
      </c>
      <c r="AC47" s="63">
        <v>0</v>
      </c>
      <c r="AD47" s="63">
        <f t="shared" si="13"/>
        <v>114.27850140000002</v>
      </c>
      <c r="AE47" s="63">
        <f t="shared" si="14"/>
        <v>114.72250140000003</v>
      </c>
      <c r="AF47" s="65">
        <f t="shared" si="15"/>
        <v>117.31990140000002</v>
      </c>
      <c r="AG47" s="34"/>
      <c r="AH47" s="37">
        <f t="shared" si="16"/>
        <v>2.9950000000000001</v>
      </c>
      <c r="AI47" s="46">
        <f t="shared" si="17"/>
        <v>3.0413999999999959</v>
      </c>
      <c r="AJ47" s="47">
        <f t="shared" si="18"/>
        <v>0.65860000000000007</v>
      </c>
      <c r="AK47" s="47">
        <f t="shared" si="19"/>
        <v>117.31990140000002</v>
      </c>
      <c r="AL47" s="47">
        <f t="shared" si="20"/>
        <v>0</v>
      </c>
    </row>
    <row r="48" spans="1:38" s="22" customFormat="1" ht="15" hidden="1" x14ac:dyDescent="0.2">
      <c r="A48" s="79">
        <f t="shared" si="21"/>
        <v>40</v>
      </c>
      <c r="B48" s="3" t="s">
        <v>116</v>
      </c>
      <c r="C48" s="3" t="s">
        <v>115</v>
      </c>
      <c r="D48" s="4" t="s">
        <v>31</v>
      </c>
      <c r="E48" s="12" t="s">
        <v>16</v>
      </c>
      <c r="F48" s="57">
        <v>74.56</v>
      </c>
      <c r="G48" s="57">
        <v>0</v>
      </c>
      <c r="H48" s="57">
        <f t="shared" si="0"/>
        <v>74.56</v>
      </c>
      <c r="I48" s="57">
        <v>3.59</v>
      </c>
      <c r="J48" s="60">
        <f t="shared" si="1"/>
        <v>78.150000000000006</v>
      </c>
      <c r="K48" s="57">
        <v>2.81</v>
      </c>
      <c r="L48" s="57">
        <v>3.7</v>
      </c>
      <c r="M48" s="57">
        <f t="shared" si="2"/>
        <v>84.660000000000011</v>
      </c>
      <c r="N48" s="60">
        <v>15</v>
      </c>
      <c r="O48" s="81">
        <f t="shared" si="3"/>
        <v>99.660000000000011</v>
      </c>
      <c r="P48" s="57">
        <f t="shared" si="4"/>
        <v>16.942200000000003</v>
      </c>
      <c r="Q48" s="59">
        <f t="shared" si="5"/>
        <v>116.60220000000001</v>
      </c>
      <c r="R48" s="57">
        <f t="shared" si="6"/>
        <v>0.44400000000000001</v>
      </c>
      <c r="S48" s="57">
        <f t="shared" si="7"/>
        <v>0.88800000000000001</v>
      </c>
      <c r="T48" s="61">
        <f t="shared" si="26"/>
        <v>0.18500000000000003</v>
      </c>
      <c r="U48" s="69"/>
      <c r="V48" s="69"/>
      <c r="W48" s="69"/>
      <c r="X48" s="57">
        <f t="shared" si="8"/>
        <v>2.9600000000000005E-2</v>
      </c>
      <c r="Y48" s="65">
        <f t="shared" si="9"/>
        <v>113.56080000000001</v>
      </c>
      <c r="Z48" s="65">
        <f t="shared" si="10"/>
        <v>114.00480000000002</v>
      </c>
      <c r="AA48" s="64">
        <f>3.0671/1000*150</f>
        <v>0.460065</v>
      </c>
      <c r="AB48" s="65">
        <f t="shared" si="12"/>
        <v>7.8211050000000004E-2</v>
      </c>
      <c r="AC48" s="65">
        <v>0</v>
      </c>
      <c r="AD48" s="65">
        <f t="shared" si="13"/>
        <v>114.09907605000001</v>
      </c>
      <c r="AE48" s="65">
        <f t="shared" si="14"/>
        <v>114.54307605000001</v>
      </c>
      <c r="AF48" s="65">
        <f t="shared" si="15"/>
        <v>117.14047605</v>
      </c>
      <c r="AG48" s="34"/>
      <c r="AH48" s="37">
        <f t="shared" si="16"/>
        <v>2.9950000000000001</v>
      </c>
      <c r="AI48" s="46">
        <f t="shared" si="17"/>
        <v>3.0413999999999959</v>
      </c>
      <c r="AJ48" s="47">
        <f t="shared" si="18"/>
        <v>0.65860000000000007</v>
      </c>
      <c r="AK48" s="47">
        <f t="shared" si="19"/>
        <v>117.14047605</v>
      </c>
      <c r="AL48" s="47">
        <f t="shared" si="20"/>
        <v>0</v>
      </c>
    </row>
    <row r="49" spans="1:38" s="51" customFormat="1" ht="15" hidden="1" x14ac:dyDescent="0.2">
      <c r="A49" s="79">
        <f t="shared" si="21"/>
        <v>41</v>
      </c>
      <c r="B49" s="3" t="s">
        <v>135</v>
      </c>
      <c r="C49" s="3" t="s">
        <v>144</v>
      </c>
      <c r="D49" s="48" t="s">
        <v>9</v>
      </c>
      <c r="E49" s="49" t="s">
        <v>10</v>
      </c>
      <c r="F49" s="70">
        <v>74.56</v>
      </c>
      <c r="G49" s="70">
        <v>0</v>
      </c>
      <c r="H49" s="70">
        <f t="shared" si="0"/>
        <v>74.56</v>
      </c>
      <c r="I49" s="70">
        <v>3.59</v>
      </c>
      <c r="J49" s="71">
        <f t="shared" si="1"/>
        <v>78.150000000000006</v>
      </c>
      <c r="K49" s="70">
        <v>2.81</v>
      </c>
      <c r="L49" s="70">
        <v>3.7</v>
      </c>
      <c r="M49" s="70">
        <f t="shared" si="2"/>
        <v>84.660000000000011</v>
      </c>
      <c r="N49" s="71">
        <v>15</v>
      </c>
      <c r="O49" s="81">
        <f t="shared" si="3"/>
        <v>99.660000000000011</v>
      </c>
      <c r="P49" s="70">
        <f t="shared" si="4"/>
        <v>16.942200000000003</v>
      </c>
      <c r="Q49" s="72">
        <f t="shared" si="5"/>
        <v>116.60220000000001</v>
      </c>
      <c r="R49" s="70">
        <f t="shared" si="6"/>
        <v>0.44400000000000001</v>
      </c>
      <c r="S49" s="70">
        <f t="shared" si="7"/>
        <v>0.88800000000000001</v>
      </c>
      <c r="T49" s="56">
        <f>L49*0.08</f>
        <v>0.29600000000000004</v>
      </c>
      <c r="U49" s="56">
        <v>0.06</v>
      </c>
      <c r="V49" s="56">
        <v>0.02</v>
      </c>
      <c r="W49" s="73"/>
      <c r="X49" s="70">
        <f t="shared" si="8"/>
        <v>6.0160000000000012E-2</v>
      </c>
      <c r="Y49" s="55">
        <f t="shared" si="9"/>
        <v>113.78236000000001</v>
      </c>
      <c r="Z49" s="55">
        <f t="shared" si="10"/>
        <v>114.22636000000001</v>
      </c>
      <c r="AA49" s="54">
        <f>3.0671/1000*146</f>
        <v>0.44779660000000004</v>
      </c>
      <c r="AB49" s="55">
        <f t="shared" si="12"/>
        <v>7.6125422000000012E-2</v>
      </c>
      <c r="AC49" s="55">
        <v>0</v>
      </c>
      <c r="AD49" s="55">
        <f t="shared" si="13"/>
        <v>114.30628202200002</v>
      </c>
      <c r="AE49" s="55">
        <f t="shared" si="14"/>
        <v>114.75028202200002</v>
      </c>
      <c r="AF49" s="55">
        <f t="shared" si="15"/>
        <v>117.12612202200002</v>
      </c>
      <c r="AH49" s="50">
        <f t="shared" ref="AH49:AH52" si="28">K49+T49+U49+V49+W49</f>
        <v>3.1859999999999999</v>
      </c>
      <c r="AI49" s="52">
        <f t="shared" ref="AI49:AI51" si="29">AF49-AD49</f>
        <v>2.8198399999999992</v>
      </c>
      <c r="AJ49" s="53">
        <f t="shared" ref="AJ49:AJ51" si="30">X49+V49+T49+R49</f>
        <v>0.82016</v>
      </c>
      <c r="AK49" s="53">
        <f t="shared" ref="AK49:AK51" si="31">AD49+AI49</f>
        <v>117.12612202200002</v>
      </c>
      <c r="AL49" s="47">
        <f t="shared" si="20"/>
        <v>0</v>
      </c>
    </row>
    <row r="50" spans="1:38" s="22" customFormat="1" ht="15" hidden="1" x14ac:dyDescent="0.2">
      <c r="A50" s="79">
        <f t="shared" si="21"/>
        <v>42</v>
      </c>
      <c r="B50" s="3" t="s">
        <v>136</v>
      </c>
      <c r="C50" s="3" t="s">
        <v>133</v>
      </c>
      <c r="D50" s="4" t="s">
        <v>12</v>
      </c>
      <c r="E50" s="12" t="s">
        <v>16</v>
      </c>
      <c r="F50" s="57">
        <v>74.56</v>
      </c>
      <c r="G50" s="57">
        <v>0</v>
      </c>
      <c r="H50" s="57">
        <f t="shared" si="0"/>
        <v>74.56</v>
      </c>
      <c r="I50" s="57">
        <v>3.59</v>
      </c>
      <c r="J50" s="60">
        <f t="shared" si="1"/>
        <v>78.150000000000006</v>
      </c>
      <c r="K50" s="57">
        <v>2.81</v>
      </c>
      <c r="L50" s="57">
        <v>3.7</v>
      </c>
      <c r="M50" s="57">
        <f t="shared" si="2"/>
        <v>84.660000000000011</v>
      </c>
      <c r="N50" s="60">
        <v>15</v>
      </c>
      <c r="O50" s="81">
        <f t="shared" si="3"/>
        <v>99.660000000000011</v>
      </c>
      <c r="P50" s="57">
        <f t="shared" si="4"/>
        <v>16.942200000000003</v>
      </c>
      <c r="Q50" s="59">
        <f t="shared" si="5"/>
        <v>116.60220000000001</v>
      </c>
      <c r="R50" s="57">
        <f t="shared" si="6"/>
        <v>0.44400000000000001</v>
      </c>
      <c r="S50" s="57">
        <f t="shared" si="7"/>
        <v>0.88800000000000001</v>
      </c>
      <c r="T50" s="61">
        <f t="shared" si="26"/>
        <v>0.18500000000000003</v>
      </c>
      <c r="U50" s="69"/>
      <c r="V50" s="61">
        <v>0.04</v>
      </c>
      <c r="W50" s="69"/>
      <c r="X50" s="57">
        <f t="shared" si="8"/>
        <v>3.6000000000000004E-2</v>
      </c>
      <c r="Y50" s="65">
        <f t="shared" si="9"/>
        <v>113.60720000000002</v>
      </c>
      <c r="Z50" s="65">
        <f t="shared" si="10"/>
        <v>114.05120000000002</v>
      </c>
      <c r="AA50" s="64">
        <f>3.0671/1000*270</f>
        <v>0.82811699999999999</v>
      </c>
      <c r="AB50" s="65">
        <f t="shared" si="12"/>
        <v>0.14077989000000002</v>
      </c>
      <c r="AC50" s="65">
        <v>0</v>
      </c>
      <c r="AD50" s="65">
        <f t="shared" si="13"/>
        <v>114.57609689000003</v>
      </c>
      <c r="AE50" s="65">
        <f t="shared" si="14"/>
        <v>115.02009689000003</v>
      </c>
      <c r="AF50" s="65">
        <f t="shared" si="15"/>
        <v>117.57109689000002</v>
      </c>
      <c r="AH50" s="37">
        <f t="shared" si="28"/>
        <v>3.0350000000000001</v>
      </c>
      <c r="AI50" s="46">
        <f t="shared" si="29"/>
        <v>2.9949999999999903</v>
      </c>
      <c r="AJ50" s="47">
        <f t="shared" si="30"/>
        <v>0.70500000000000007</v>
      </c>
      <c r="AK50" s="47">
        <f t="shared" si="31"/>
        <v>117.57109689000002</v>
      </c>
      <c r="AL50" s="47">
        <f t="shared" si="20"/>
        <v>0</v>
      </c>
    </row>
    <row r="51" spans="1:38" ht="15" x14ac:dyDescent="0.2">
      <c r="A51" s="39">
        <f t="shared" si="21"/>
        <v>43</v>
      </c>
      <c r="B51" s="75"/>
      <c r="C51" s="38" t="s">
        <v>141</v>
      </c>
      <c r="D51" s="4" t="s">
        <v>31</v>
      </c>
      <c r="E51" s="12" t="s">
        <v>16</v>
      </c>
      <c r="F51" s="57">
        <v>74.56</v>
      </c>
      <c r="G51" s="57">
        <v>0</v>
      </c>
      <c r="H51" s="57">
        <f t="shared" si="0"/>
        <v>74.56</v>
      </c>
      <c r="I51" s="57">
        <v>3.59</v>
      </c>
      <c r="J51" s="60">
        <f t="shared" si="1"/>
        <v>78.150000000000006</v>
      </c>
      <c r="K51" s="57">
        <v>2.81</v>
      </c>
      <c r="L51" s="57">
        <v>3.7</v>
      </c>
      <c r="M51" s="57">
        <f t="shared" si="2"/>
        <v>84.660000000000011</v>
      </c>
      <c r="N51" s="60">
        <v>15</v>
      </c>
      <c r="O51" s="60">
        <f t="shared" si="3"/>
        <v>99.660000000000011</v>
      </c>
      <c r="P51" s="57">
        <f t="shared" si="4"/>
        <v>16.942200000000003</v>
      </c>
      <c r="Q51" s="59">
        <f t="shared" si="5"/>
        <v>116.60220000000001</v>
      </c>
      <c r="R51" s="57">
        <f t="shared" si="6"/>
        <v>0.44400000000000001</v>
      </c>
      <c r="S51" s="57">
        <f t="shared" si="7"/>
        <v>0.88800000000000001</v>
      </c>
      <c r="T51" s="61">
        <f t="shared" si="26"/>
        <v>0.18500000000000003</v>
      </c>
      <c r="U51" s="69"/>
      <c r="V51" s="69"/>
      <c r="W51" s="69"/>
      <c r="X51" s="57">
        <f t="shared" si="8"/>
        <v>2.9600000000000005E-2</v>
      </c>
      <c r="Y51" s="65">
        <f t="shared" si="9"/>
        <v>113.56080000000001</v>
      </c>
      <c r="Z51" s="65">
        <f t="shared" si="10"/>
        <v>114.00480000000002</v>
      </c>
      <c r="AA51" s="64">
        <f>3.0671/1000*280</f>
        <v>0.858788</v>
      </c>
      <c r="AB51" s="65">
        <f t="shared" si="12"/>
        <v>0.14599396000000001</v>
      </c>
      <c r="AC51" s="65">
        <v>0</v>
      </c>
      <c r="AD51" s="65">
        <f t="shared" si="13"/>
        <v>114.56558196000002</v>
      </c>
      <c r="AE51" s="65">
        <f t="shared" si="14"/>
        <v>115.00958196000002</v>
      </c>
      <c r="AF51" s="65">
        <f t="shared" si="15"/>
        <v>117.60698196000001</v>
      </c>
      <c r="AH51" s="37">
        <f t="shared" si="28"/>
        <v>2.9950000000000001</v>
      </c>
      <c r="AI51" s="46">
        <f t="shared" si="29"/>
        <v>3.0413999999999959</v>
      </c>
      <c r="AJ51" s="47">
        <f t="shared" si="30"/>
        <v>0.65860000000000007</v>
      </c>
      <c r="AK51" s="47">
        <f t="shared" si="31"/>
        <v>117.60698196000001</v>
      </c>
      <c r="AL51" s="47">
        <f t="shared" si="20"/>
        <v>0</v>
      </c>
    </row>
    <row r="52" spans="1:38" ht="15" x14ac:dyDescent="0.2">
      <c r="A52" s="39">
        <f t="shared" si="21"/>
        <v>44</v>
      </c>
      <c r="B52" s="75"/>
      <c r="C52" s="38" t="s">
        <v>142</v>
      </c>
      <c r="D52" s="4" t="s">
        <v>66</v>
      </c>
      <c r="E52" s="12" t="s">
        <v>21</v>
      </c>
      <c r="F52" s="57">
        <v>74.56</v>
      </c>
      <c r="G52" s="57">
        <v>0</v>
      </c>
      <c r="H52" s="57">
        <f t="shared" si="0"/>
        <v>74.56</v>
      </c>
      <c r="I52" s="57">
        <v>3.59</v>
      </c>
      <c r="J52" s="60">
        <f t="shared" si="1"/>
        <v>78.150000000000006</v>
      </c>
      <c r="K52" s="57">
        <v>2.81</v>
      </c>
      <c r="L52" s="57">
        <v>3.7</v>
      </c>
      <c r="M52" s="57">
        <f t="shared" si="2"/>
        <v>84.660000000000011</v>
      </c>
      <c r="N52" s="60">
        <v>15</v>
      </c>
      <c r="O52" s="60">
        <f t="shared" si="3"/>
        <v>99.660000000000011</v>
      </c>
      <c r="P52" s="57">
        <f t="shared" si="4"/>
        <v>16.942200000000003</v>
      </c>
      <c r="Q52" s="59">
        <f t="shared" si="5"/>
        <v>116.60220000000001</v>
      </c>
      <c r="R52" s="57">
        <f t="shared" si="6"/>
        <v>0.44400000000000001</v>
      </c>
      <c r="S52" s="57">
        <f t="shared" si="7"/>
        <v>0.88800000000000001</v>
      </c>
      <c r="T52" s="61">
        <f>L52*0.07</f>
        <v>0.25900000000000006</v>
      </c>
      <c r="U52" s="69"/>
      <c r="V52" s="69"/>
      <c r="W52" s="69"/>
      <c r="X52" s="57">
        <f t="shared" si="8"/>
        <v>4.1440000000000012E-2</v>
      </c>
      <c r="Y52" s="65">
        <f t="shared" si="9"/>
        <v>113.64664</v>
      </c>
      <c r="Z52" s="65">
        <f t="shared" si="10"/>
        <v>114.09064000000001</v>
      </c>
      <c r="AA52" s="64">
        <f>418.45/1000</f>
        <v>0.41844999999999999</v>
      </c>
      <c r="AB52" s="65">
        <f t="shared" si="12"/>
        <v>7.1136500000000005E-2</v>
      </c>
      <c r="AC52" s="65">
        <v>0</v>
      </c>
      <c r="AD52" s="65">
        <f t="shared" si="13"/>
        <v>114.13622649999999</v>
      </c>
      <c r="AE52" s="65">
        <f t="shared" si="14"/>
        <v>114.58022650000001</v>
      </c>
      <c r="AF52" s="65">
        <f t="shared" si="15"/>
        <v>117.09178650000001</v>
      </c>
      <c r="AH52" s="37">
        <f t="shared" si="28"/>
        <v>3.069</v>
      </c>
      <c r="AI52" s="46">
        <f t="shared" ref="AI52" si="32">AF52-AD52</f>
        <v>2.9555600000000197</v>
      </c>
      <c r="AJ52" s="47">
        <f t="shared" ref="AJ52" si="33">X52+V52+T52+R52</f>
        <v>0.7444400000000001</v>
      </c>
      <c r="AK52" s="47">
        <f t="shared" ref="AK52" si="34">AD52+AI52</f>
        <v>117.09178650000001</v>
      </c>
      <c r="AL52" s="47">
        <f t="shared" ref="AL52" si="35">AK52-AF52</f>
        <v>0</v>
      </c>
    </row>
    <row r="53" spans="1:38" ht="15" x14ac:dyDescent="0.2">
      <c r="A53" s="39">
        <f t="shared" si="21"/>
        <v>45</v>
      </c>
      <c r="B53" s="75"/>
      <c r="C53" s="38" t="s">
        <v>143</v>
      </c>
      <c r="D53" s="4" t="s">
        <v>31</v>
      </c>
      <c r="E53" s="12" t="s">
        <v>21</v>
      </c>
      <c r="F53" s="57">
        <v>74.56</v>
      </c>
      <c r="G53" s="57">
        <v>0</v>
      </c>
      <c r="H53" s="57">
        <f t="shared" si="0"/>
        <v>74.56</v>
      </c>
      <c r="I53" s="57">
        <v>3.59</v>
      </c>
      <c r="J53" s="60">
        <f t="shared" si="1"/>
        <v>78.150000000000006</v>
      </c>
      <c r="K53" s="57">
        <v>2.81</v>
      </c>
      <c r="L53" s="57">
        <v>3.7</v>
      </c>
      <c r="M53" s="57">
        <f t="shared" si="2"/>
        <v>84.660000000000011</v>
      </c>
      <c r="N53" s="60">
        <v>15</v>
      </c>
      <c r="O53" s="60">
        <f t="shared" si="3"/>
        <v>99.660000000000011</v>
      </c>
      <c r="P53" s="57">
        <f t="shared" si="4"/>
        <v>16.942200000000003</v>
      </c>
      <c r="Q53" s="59">
        <f t="shared" si="5"/>
        <v>116.60220000000001</v>
      </c>
      <c r="R53" s="57">
        <f t="shared" si="6"/>
        <v>0.44400000000000001</v>
      </c>
      <c r="S53" s="57">
        <f t="shared" si="7"/>
        <v>0.88800000000000001</v>
      </c>
      <c r="T53" s="61">
        <f>L53*0.05</f>
        <v>0.18500000000000003</v>
      </c>
      <c r="U53" s="69"/>
      <c r="V53" s="69"/>
      <c r="W53" s="69"/>
      <c r="X53" s="57">
        <f t="shared" si="8"/>
        <v>2.9600000000000005E-2</v>
      </c>
      <c r="Y53" s="65">
        <f t="shared" si="9"/>
        <v>113.56080000000001</v>
      </c>
      <c r="Z53" s="65">
        <f t="shared" si="10"/>
        <v>114.00480000000002</v>
      </c>
      <c r="AA53" s="64">
        <f>140*3.0671/1000</f>
        <v>0.429394</v>
      </c>
      <c r="AB53" s="65">
        <f t="shared" si="12"/>
        <v>7.2996980000000003E-2</v>
      </c>
      <c r="AC53" s="65">
        <v>0</v>
      </c>
      <c r="AD53" s="65">
        <f t="shared" ref="AD53" si="36">Y53+AA53+AB53</f>
        <v>114.06319098000002</v>
      </c>
      <c r="AE53" s="65">
        <f t="shared" ref="AE53" si="37">Z53+AA53+AB53</f>
        <v>114.50719098000002</v>
      </c>
      <c r="AF53" s="65">
        <f t="shared" ref="AF53" si="38">Q53+AA53+AB53</f>
        <v>117.10459098000001</v>
      </c>
      <c r="AH53" s="37">
        <f t="shared" ref="AH53:AH54" si="39">K53+T53+U53+V53+W53</f>
        <v>2.9950000000000001</v>
      </c>
      <c r="AI53" s="46">
        <f t="shared" ref="AI53:AI54" si="40">AF53-AD53</f>
        <v>3.0413999999999959</v>
      </c>
      <c r="AJ53" s="47">
        <f t="shared" ref="AJ53:AJ54" si="41">X53+V53+T53+R53</f>
        <v>0.65860000000000007</v>
      </c>
      <c r="AK53" s="47">
        <f t="shared" ref="AK53:AK54" si="42">AD53+AI53</f>
        <v>117.10459098000001</v>
      </c>
      <c r="AL53" s="47">
        <f t="shared" ref="AL53:AL54" si="43">AK53-AF53</f>
        <v>0</v>
      </c>
    </row>
    <row r="54" spans="1:38" ht="15" hidden="1" x14ac:dyDescent="0.2">
      <c r="A54" s="39">
        <f t="shared" si="21"/>
        <v>46</v>
      </c>
      <c r="B54" s="3" t="s">
        <v>150</v>
      </c>
      <c r="C54" s="80" t="s">
        <v>149</v>
      </c>
      <c r="D54" s="4" t="s">
        <v>153</v>
      </c>
      <c r="E54" s="12" t="s">
        <v>13</v>
      </c>
      <c r="F54" s="57">
        <v>74.56</v>
      </c>
      <c r="G54" s="57">
        <v>0</v>
      </c>
      <c r="H54" s="57">
        <f t="shared" ref="H54:H56" si="44">F54+G54</f>
        <v>74.56</v>
      </c>
      <c r="I54" s="57">
        <v>3.59</v>
      </c>
      <c r="J54" s="60">
        <f t="shared" ref="J54:J56" si="45">H54+I54</f>
        <v>78.150000000000006</v>
      </c>
      <c r="K54" s="57">
        <v>2.81</v>
      </c>
      <c r="L54" s="57">
        <v>3.7</v>
      </c>
      <c r="M54" s="57">
        <f t="shared" ref="M54:M56" si="46">J54+K54+L54</f>
        <v>84.660000000000011</v>
      </c>
      <c r="N54" s="60">
        <v>15</v>
      </c>
      <c r="O54" s="81">
        <f t="shared" ref="O54:O56" si="47">N54+M54</f>
        <v>99.660000000000011</v>
      </c>
      <c r="P54" s="57">
        <f t="shared" ref="P54:P56" si="48">O54*0.17</f>
        <v>16.942200000000003</v>
      </c>
      <c r="Q54" s="59">
        <f t="shared" ref="Q54:Q56" si="49">O54+P54</f>
        <v>116.60220000000001</v>
      </c>
      <c r="R54" s="57">
        <f t="shared" si="6"/>
        <v>0.44400000000000001</v>
      </c>
      <c r="S54" s="57">
        <f t="shared" si="7"/>
        <v>0.88800000000000001</v>
      </c>
      <c r="T54" s="61">
        <f>L54*0.05</f>
        <v>0.18500000000000003</v>
      </c>
      <c r="U54" s="69"/>
      <c r="V54" s="69"/>
      <c r="W54" s="69"/>
      <c r="X54" s="57">
        <f t="shared" ref="X54:X56" si="50">(T54+U54+V54+W54)*0.16</f>
        <v>2.9600000000000005E-2</v>
      </c>
      <c r="Y54" s="65">
        <f t="shared" ref="Y54:Y56" si="51">Q54+R54+T54+U54+V54+W54+X54-L54</f>
        <v>113.56080000000001</v>
      </c>
      <c r="Z54" s="65">
        <f t="shared" ref="Z54:Z56" si="52">Q54+S54+T54+U54+V54+W54+X54-L54</f>
        <v>114.00480000000002</v>
      </c>
      <c r="AA54" s="64">
        <f>170*3.0671/1000</f>
        <v>0.52140700000000006</v>
      </c>
      <c r="AB54" s="65">
        <f t="shared" ref="AB54:AB56" si="53">AA54*0.17</f>
        <v>8.863919000000002E-2</v>
      </c>
      <c r="AC54" s="65">
        <v>0</v>
      </c>
      <c r="AD54" s="65">
        <f t="shared" ref="AD54:AD56" si="54">Y54+AA54+AB54</f>
        <v>114.17084619000001</v>
      </c>
      <c r="AE54" s="65">
        <f t="shared" ref="AE54:AE56" si="55">Z54+AA54+AB54</f>
        <v>114.61484619000001</v>
      </c>
      <c r="AF54" s="65">
        <f t="shared" ref="AF54:AF56" si="56">Q54+AA54+AB54</f>
        <v>117.21224619</v>
      </c>
      <c r="AH54" s="37">
        <f t="shared" si="39"/>
        <v>2.9950000000000001</v>
      </c>
      <c r="AI54" s="46">
        <f t="shared" si="40"/>
        <v>3.0413999999999959</v>
      </c>
      <c r="AJ54" s="47">
        <f t="shared" si="41"/>
        <v>0.65860000000000007</v>
      </c>
      <c r="AK54" s="47">
        <f t="shared" si="42"/>
        <v>117.21224619</v>
      </c>
      <c r="AL54" s="47">
        <f t="shared" si="43"/>
        <v>0</v>
      </c>
    </row>
    <row r="55" spans="1:38" ht="15" x14ac:dyDescent="0.2">
      <c r="A55" s="39">
        <f t="shared" si="21"/>
        <v>47</v>
      </c>
      <c r="B55" s="75"/>
      <c r="C55" s="38"/>
      <c r="D55" s="4" t="s">
        <v>31</v>
      </c>
      <c r="E55" s="12" t="s">
        <v>21</v>
      </c>
      <c r="F55" s="57">
        <v>74.56</v>
      </c>
      <c r="G55" s="57">
        <v>0</v>
      </c>
      <c r="H55" s="57">
        <f t="shared" si="44"/>
        <v>74.56</v>
      </c>
      <c r="I55" s="57">
        <v>3.59</v>
      </c>
      <c r="J55" s="60">
        <f t="shared" si="45"/>
        <v>78.150000000000006</v>
      </c>
      <c r="K55" s="57">
        <v>2.81</v>
      </c>
      <c r="L55" s="57">
        <v>3.7</v>
      </c>
      <c r="M55" s="57">
        <f t="shared" si="46"/>
        <v>84.660000000000011</v>
      </c>
      <c r="N55" s="60">
        <v>15</v>
      </c>
      <c r="O55" s="60">
        <f t="shared" si="47"/>
        <v>99.660000000000011</v>
      </c>
      <c r="P55" s="57">
        <f t="shared" si="48"/>
        <v>16.942200000000003</v>
      </c>
      <c r="Q55" s="59">
        <f t="shared" si="49"/>
        <v>116.60220000000001</v>
      </c>
      <c r="R55" s="57">
        <f t="shared" si="6"/>
        <v>0.44400000000000001</v>
      </c>
      <c r="S55" s="57">
        <f t="shared" si="7"/>
        <v>0.88800000000000001</v>
      </c>
      <c r="T55" s="61">
        <f>L55*0.05</f>
        <v>0.18500000000000003</v>
      </c>
      <c r="U55" s="69"/>
      <c r="V55" s="69"/>
      <c r="W55" s="69"/>
      <c r="X55" s="57">
        <f t="shared" si="50"/>
        <v>2.9600000000000005E-2</v>
      </c>
      <c r="Y55" s="65">
        <f t="shared" si="51"/>
        <v>113.56080000000001</v>
      </c>
      <c r="Z55" s="65">
        <f t="shared" si="52"/>
        <v>114.00480000000002</v>
      </c>
      <c r="AA55" s="64">
        <f>140*3.0671/1000</f>
        <v>0.429394</v>
      </c>
      <c r="AB55" s="65">
        <f t="shared" si="53"/>
        <v>7.2996980000000003E-2</v>
      </c>
      <c r="AC55" s="65">
        <v>0</v>
      </c>
      <c r="AD55" s="65">
        <f t="shared" si="54"/>
        <v>114.06319098000002</v>
      </c>
      <c r="AE55" s="65">
        <f t="shared" si="55"/>
        <v>114.50719098000002</v>
      </c>
      <c r="AF55" s="65">
        <f t="shared" si="56"/>
        <v>117.10459098000001</v>
      </c>
    </row>
    <row r="56" spans="1:38" ht="15" x14ac:dyDescent="0.2">
      <c r="A56" s="39">
        <f t="shared" si="21"/>
        <v>48</v>
      </c>
      <c r="B56" s="3">
        <v>0</v>
      </c>
      <c r="C56" s="80" t="s">
        <v>159</v>
      </c>
      <c r="D56" s="4" t="s">
        <v>31</v>
      </c>
      <c r="E56" s="12" t="s">
        <v>16</v>
      </c>
      <c r="F56" s="57">
        <v>74.56</v>
      </c>
      <c r="G56" s="57">
        <v>0</v>
      </c>
      <c r="H56" s="57">
        <f t="shared" si="44"/>
        <v>74.56</v>
      </c>
      <c r="I56" s="57">
        <v>3.59</v>
      </c>
      <c r="J56" s="60">
        <f t="shared" si="45"/>
        <v>78.150000000000006</v>
      </c>
      <c r="K56" s="57">
        <v>2.81</v>
      </c>
      <c r="L56" s="57">
        <v>3.7</v>
      </c>
      <c r="M56" s="57">
        <f t="shared" si="46"/>
        <v>84.660000000000011</v>
      </c>
      <c r="N56" s="60">
        <v>15</v>
      </c>
      <c r="O56" s="60">
        <f t="shared" si="47"/>
        <v>99.660000000000011</v>
      </c>
      <c r="P56" s="57">
        <f t="shared" si="48"/>
        <v>16.942200000000003</v>
      </c>
      <c r="Q56" s="59">
        <f t="shared" si="49"/>
        <v>116.60220000000001</v>
      </c>
      <c r="R56" s="57">
        <f t="shared" si="6"/>
        <v>0.44400000000000001</v>
      </c>
      <c r="S56" s="57">
        <f t="shared" si="7"/>
        <v>0.88800000000000001</v>
      </c>
      <c r="T56" s="61">
        <f>L56*0.05</f>
        <v>0.18500000000000003</v>
      </c>
      <c r="U56" s="69"/>
      <c r="V56" s="69"/>
      <c r="W56" s="69"/>
      <c r="X56" s="57">
        <f t="shared" si="50"/>
        <v>2.9600000000000005E-2</v>
      </c>
      <c r="Y56" s="65">
        <f t="shared" si="51"/>
        <v>113.56080000000001</v>
      </c>
      <c r="Z56" s="65">
        <f t="shared" si="52"/>
        <v>114.00480000000002</v>
      </c>
      <c r="AA56" s="64">
        <f>418.45/1000</f>
        <v>0.41844999999999999</v>
      </c>
      <c r="AB56" s="65">
        <f t="shared" si="53"/>
        <v>7.1136500000000005E-2</v>
      </c>
      <c r="AC56" s="65">
        <v>0</v>
      </c>
      <c r="AD56" s="65">
        <f t="shared" si="54"/>
        <v>114.0503865</v>
      </c>
      <c r="AE56" s="65">
        <f t="shared" si="55"/>
        <v>114.49438650000002</v>
      </c>
      <c r="AF56" s="65">
        <f t="shared" si="56"/>
        <v>117.09178650000001</v>
      </c>
    </row>
    <row r="57" spans="1:38" x14ac:dyDescent="0.15">
      <c r="F57" s="29"/>
    </row>
    <row r="58" spans="1:38" x14ac:dyDescent="0.15">
      <c r="F58" s="29"/>
    </row>
  </sheetData>
  <autoFilter ref="A7:AF56" xr:uid="{00000000-0009-0000-0000-000000000000}">
    <filterColumn colId="1">
      <filters>
        <filter val="-"/>
      </filters>
    </filterColumn>
    <filterColumn colId="17" showButton="0"/>
    <filterColumn colId="20" showButton="0"/>
    <filterColumn colId="21" showButton="0"/>
    <filterColumn colId="24" showButton="0"/>
    <filterColumn colId="29" showButton="0"/>
  </autoFilter>
  <mergeCells count="28">
    <mergeCell ref="AB7:AB8"/>
    <mergeCell ref="AD7:AE7"/>
    <mergeCell ref="AF7:AF8"/>
    <mergeCell ref="AC7:AC8"/>
    <mergeCell ref="T7:T8"/>
    <mergeCell ref="U7:W7"/>
    <mergeCell ref="X7:X8"/>
    <mergeCell ref="Y7:Z7"/>
    <mergeCell ref="AA7:AA8"/>
    <mergeCell ref="I7:I8"/>
    <mergeCell ref="H7:H8"/>
    <mergeCell ref="A7:A8"/>
    <mergeCell ref="C7:C8"/>
    <mergeCell ref="D7:D8"/>
    <mergeCell ref="E7:E8"/>
    <mergeCell ref="F7:F8"/>
    <mergeCell ref="G7:G8"/>
    <mergeCell ref="B7:B8"/>
    <mergeCell ref="J7:J8"/>
    <mergeCell ref="R7:S7"/>
    <mergeCell ref="R5:S5"/>
    <mergeCell ref="Q7:Q8"/>
    <mergeCell ref="P7:P8"/>
    <mergeCell ref="O7:O8"/>
    <mergeCell ref="N7:N8"/>
    <mergeCell ref="M7:M8"/>
    <mergeCell ref="L7:L8"/>
    <mergeCell ref="K7:K8"/>
  </mergeCells>
  <pageMargins left="0.75" right="0.75" top="1" bottom="1" header="0.5" footer="0.5"/>
  <pageSetup scale="2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55"/>
  <sheetViews>
    <sheetView showGridLines="0" view="pageBreakPreview" topLeftCell="P1" zoomScale="80" zoomScaleNormal="100" zoomScaleSheetLayoutView="80" workbookViewId="0">
      <pane ySplit="8" topLeftCell="A9" activePane="bottomLeft" state="frozen"/>
      <selection activeCell="C46" sqref="C46"/>
      <selection pane="bottomLeft" activeCell="C46" sqref="C46"/>
    </sheetView>
  </sheetViews>
  <sheetFormatPr baseColWidth="10" defaultColWidth="8.83203125" defaultRowHeight="13" x14ac:dyDescent="0.15"/>
  <cols>
    <col min="1" max="1" width="8" customWidth="1"/>
    <col min="2" max="2" width="11.6640625" customWidth="1"/>
    <col min="3" max="3" width="26" bestFit="1" customWidth="1"/>
    <col min="4" max="4" width="18.1640625" bestFit="1" customWidth="1"/>
    <col min="5" max="5" width="9.1640625" customWidth="1"/>
    <col min="6" max="6" width="12.5" customWidth="1"/>
    <col min="7" max="7" width="16.6640625" customWidth="1"/>
    <col min="8" max="8" width="18.5" customWidth="1"/>
    <col min="9" max="9" width="9.1640625" customWidth="1"/>
    <col min="10" max="10" width="21.1640625" customWidth="1"/>
    <col min="11" max="11" width="14.1640625" customWidth="1"/>
    <col min="12" max="12" width="15" customWidth="1"/>
    <col min="13" max="13" width="17" customWidth="1"/>
    <col min="14" max="14" width="16.33203125" customWidth="1"/>
    <col min="15" max="15" width="16.1640625" customWidth="1"/>
    <col min="16" max="16" width="11.5" customWidth="1"/>
    <col min="17" max="17" width="17.5" customWidth="1"/>
    <col min="18" max="18" width="11.83203125" customWidth="1"/>
    <col min="19" max="19" width="13.5" customWidth="1"/>
    <col min="20" max="20" width="14.33203125" customWidth="1"/>
    <col min="21" max="21" width="10.33203125" customWidth="1"/>
    <col min="22" max="22" width="10.6640625" customWidth="1"/>
    <col min="23" max="23" width="11.1640625" customWidth="1"/>
    <col min="24" max="24" width="14.33203125" customWidth="1"/>
    <col min="25" max="26" width="10.6640625" bestFit="1" customWidth="1"/>
    <col min="28" max="29" width="11.5" customWidth="1"/>
    <col min="30" max="31" width="10.6640625" bestFit="1" customWidth="1"/>
    <col min="32" max="32" width="13" customWidth="1"/>
  </cols>
  <sheetData>
    <row r="1" spans="1:38" x14ac:dyDescent="0.15">
      <c r="A1" s="1" t="s">
        <v>0</v>
      </c>
      <c r="B1" s="1"/>
      <c r="D1" s="42"/>
      <c r="E1" s="22"/>
      <c r="F1" s="22"/>
      <c r="G1" s="43"/>
    </row>
    <row r="2" spans="1:38" x14ac:dyDescent="0.15">
      <c r="A2" s="1" t="s">
        <v>140</v>
      </c>
      <c r="B2" s="1"/>
      <c r="D2" s="22"/>
      <c r="E2" s="22"/>
      <c r="F2" s="22"/>
      <c r="G2" s="22"/>
    </row>
    <row r="3" spans="1:38" x14ac:dyDescent="0.15">
      <c r="A3" s="1" t="s">
        <v>138</v>
      </c>
      <c r="B3" s="1"/>
      <c r="D3" s="22"/>
      <c r="E3" s="22"/>
      <c r="F3" s="22"/>
      <c r="G3" s="22"/>
    </row>
    <row r="4" spans="1:38" x14ac:dyDescent="0.15">
      <c r="A4" s="1"/>
      <c r="B4" s="1"/>
    </row>
    <row r="5" spans="1:38" ht="20" customHeight="1" x14ac:dyDescent="0.15">
      <c r="A5" s="7" t="s">
        <v>83</v>
      </c>
      <c r="B5" s="21"/>
      <c r="O5" s="29"/>
      <c r="P5" s="30"/>
      <c r="Q5" s="29"/>
    </row>
    <row r="6" spans="1:38" s="22" customFormat="1" ht="5" customHeight="1" x14ac:dyDescent="0.15">
      <c r="A6" s="21"/>
      <c r="B6" s="21"/>
    </row>
    <row r="7" spans="1:38" ht="15" customHeight="1" x14ac:dyDescent="0.2">
      <c r="A7" s="138" t="s">
        <v>3</v>
      </c>
      <c r="B7" s="122" t="s">
        <v>110</v>
      </c>
      <c r="C7" s="136" t="s">
        <v>4</v>
      </c>
      <c r="D7" s="136" t="s">
        <v>5</v>
      </c>
      <c r="E7" s="136" t="s">
        <v>6</v>
      </c>
      <c r="F7" s="136" t="s">
        <v>7</v>
      </c>
      <c r="G7" s="136" t="s">
        <v>73</v>
      </c>
      <c r="H7" s="136" t="s">
        <v>77</v>
      </c>
      <c r="I7" s="136" t="s">
        <v>74</v>
      </c>
      <c r="J7" s="136" t="s">
        <v>78</v>
      </c>
      <c r="K7" s="136" t="s">
        <v>75</v>
      </c>
      <c r="L7" s="136" t="s">
        <v>76</v>
      </c>
      <c r="M7" s="136" t="s">
        <v>79</v>
      </c>
      <c r="N7" s="136" t="s">
        <v>80</v>
      </c>
      <c r="O7" s="141" t="s">
        <v>81</v>
      </c>
      <c r="P7" s="136" t="s">
        <v>82</v>
      </c>
      <c r="Q7" s="142" t="s">
        <v>84</v>
      </c>
      <c r="R7" s="144" t="s">
        <v>92</v>
      </c>
      <c r="S7" s="145"/>
      <c r="T7" s="124" t="s">
        <v>93</v>
      </c>
      <c r="U7" s="146" t="s">
        <v>96</v>
      </c>
      <c r="V7" s="147"/>
      <c r="W7" s="148"/>
      <c r="X7" s="134" t="s">
        <v>100</v>
      </c>
      <c r="Y7" s="146" t="s">
        <v>109</v>
      </c>
      <c r="Z7" s="148"/>
      <c r="AA7" s="124" t="s">
        <v>103</v>
      </c>
      <c r="AB7" s="129" t="s">
        <v>104</v>
      </c>
      <c r="AC7" s="129" t="s">
        <v>108</v>
      </c>
      <c r="AD7" s="144" t="s">
        <v>105</v>
      </c>
      <c r="AE7" s="145"/>
      <c r="AF7" s="124" t="s">
        <v>106</v>
      </c>
    </row>
    <row r="8" spans="1:38" s="13" customFormat="1" ht="20" customHeight="1" x14ac:dyDescent="0.15">
      <c r="A8" s="139"/>
      <c r="B8" s="123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43"/>
      <c r="R8" s="27" t="s">
        <v>94</v>
      </c>
      <c r="S8" s="27" t="s">
        <v>95</v>
      </c>
      <c r="T8" s="140"/>
      <c r="U8" s="28" t="s">
        <v>97</v>
      </c>
      <c r="V8" s="28" t="s">
        <v>98</v>
      </c>
      <c r="W8" s="28" t="s">
        <v>99</v>
      </c>
      <c r="X8" s="149"/>
      <c r="Y8" s="27" t="s">
        <v>101</v>
      </c>
      <c r="Z8" s="27" t="s">
        <v>102</v>
      </c>
      <c r="AA8" s="136"/>
      <c r="AB8" s="150"/>
      <c r="AC8" s="132"/>
      <c r="AD8" s="27" t="s">
        <v>101</v>
      </c>
      <c r="AE8" s="27" t="s">
        <v>102</v>
      </c>
      <c r="AF8" s="137"/>
      <c r="AH8" s="35" t="s">
        <v>130</v>
      </c>
      <c r="AI8" s="36" t="s">
        <v>129</v>
      </c>
      <c r="AJ8" s="36" t="s">
        <v>131</v>
      </c>
      <c r="AK8" s="36" t="s">
        <v>106</v>
      </c>
      <c r="AL8" s="36" t="s">
        <v>132</v>
      </c>
    </row>
    <row r="9" spans="1:38" s="22" customFormat="1" ht="15" customHeight="1" x14ac:dyDescent="0.2">
      <c r="A9" s="39">
        <v>1</v>
      </c>
      <c r="B9" s="38"/>
      <c r="C9" s="38" t="s">
        <v>8</v>
      </c>
      <c r="D9" s="4" t="s">
        <v>9</v>
      </c>
      <c r="E9" s="12" t="s">
        <v>10</v>
      </c>
      <c r="F9" s="57">
        <v>83.65</v>
      </c>
      <c r="G9" s="57">
        <v>0.03</v>
      </c>
      <c r="H9" s="57">
        <f>F9+G9</f>
        <v>83.68</v>
      </c>
      <c r="I9" s="57">
        <v>1.1599999999999999</v>
      </c>
      <c r="J9" s="60">
        <f>H9+I9</f>
        <v>84.84</v>
      </c>
      <c r="K9" s="60">
        <v>2.81</v>
      </c>
      <c r="L9" s="57">
        <v>3.12</v>
      </c>
      <c r="M9" s="57">
        <f>J9+K9+L9</f>
        <v>90.77000000000001</v>
      </c>
      <c r="N9" s="60">
        <v>18</v>
      </c>
      <c r="O9" s="60">
        <f>M9+N9</f>
        <v>108.77000000000001</v>
      </c>
      <c r="P9" s="57">
        <f>$O$9*17%</f>
        <v>18.490900000000003</v>
      </c>
      <c r="Q9" s="60">
        <f>P9+O9</f>
        <v>127.26090000000002</v>
      </c>
      <c r="R9" s="65">
        <f>L9*0.12</f>
        <v>0.37440000000000001</v>
      </c>
      <c r="S9" s="65">
        <f>L9*0.24</f>
        <v>0.74880000000000002</v>
      </c>
      <c r="T9" s="61">
        <f>L9*0.09</f>
        <v>0.28079999999999999</v>
      </c>
      <c r="U9" s="61"/>
      <c r="V9" s="61">
        <v>0.03</v>
      </c>
      <c r="W9" s="61"/>
      <c r="X9" s="57">
        <f>(T9+U9+V9+W9)*0.16</f>
        <v>4.9727999999999994E-2</v>
      </c>
      <c r="Y9" s="65">
        <f>Q9+R9+T9+U9+V9+W9+X9-L9</f>
        <v>124.87582800000001</v>
      </c>
      <c r="Z9" s="65">
        <f>Q9+S9+T9+U9+V9+W9+X9-L9</f>
        <v>125.25022799999999</v>
      </c>
      <c r="AA9" s="64">
        <f>418.45/1000</f>
        <v>0.41844999999999999</v>
      </c>
      <c r="AB9" s="65">
        <f>AA9*0.17</f>
        <v>7.1136500000000005E-2</v>
      </c>
      <c r="AC9" s="65">
        <v>0</v>
      </c>
      <c r="AD9" s="65">
        <f>Y9+AA9+AB9</f>
        <v>125.36541450000001</v>
      </c>
      <c r="AE9" s="65">
        <f>Z9+AA9+AB9</f>
        <v>125.73981449999999</v>
      </c>
      <c r="AF9" s="65">
        <f>Q9+AA9+AB9</f>
        <v>127.75048650000002</v>
      </c>
      <c r="AG9" s="40"/>
      <c r="AH9" s="37">
        <f>K9+T9+U9+V9+W9</f>
        <v>3.1208</v>
      </c>
      <c r="AI9" s="46">
        <f>AF9-AD9</f>
        <v>2.3850720000000081</v>
      </c>
      <c r="AJ9" s="47">
        <f>X9+V9+T9+R9</f>
        <v>0.73492800000000003</v>
      </c>
      <c r="AK9" s="47">
        <f>AD9+AI9</f>
        <v>127.75048650000002</v>
      </c>
      <c r="AL9" s="47">
        <f>AK9-AF9</f>
        <v>0</v>
      </c>
    </row>
    <row r="10" spans="1:38" s="22" customFormat="1" ht="15" customHeight="1" x14ac:dyDescent="0.2">
      <c r="A10" s="39">
        <v>2</v>
      </c>
      <c r="B10" s="38" t="s">
        <v>111</v>
      </c>
      <c r="C10" s="38" t="str">
        <f>'PMG Master'!C10</f>
        <v>Shehryar Petroleum</v>
      </c>
      <c r="D10" s="41" t="s">
        <v>12</v>
      </c>
      <c r="E10" s="12" t="s">
        <v>13</v>
      </c>
      <c r="F10" s="57">
        <v>83.65</v>
      </c>
      <c r="G10" s="57">
        <v>0.03</v>
      </c>
      <c r="H10" s="57">
        <f t="shared" ref="H10:H53" si="0">F10+G10</f>
        <v>83.68</v>
      </c>
      <c r="I10" s="57">
        <v>1.1599999999999999</v>
      </c>
      <c r="J10" s="60">
        <f t="shared" ref="J10:J53" si="1">H10+I10</f>
        <v>84.84</v>
      </c>
      <c r="K10" s="60">
        <v>2.81</v>
      </c>
      <c r="L10" s="57">
        <v>3.12</v>
      </c>
      <c r="M10" s="57">
        <f t="shared" ref="M10:M53" si="2">J10+K10+L10</f>
        <v>90.77000000000001</v>
      </c>
      <c r="N10" s="60">
        <v>18</v>
      </c>
      <c r="O10" s="81">
        <f t="shared" ref="O10:O53" si="3">M10+N10</f>
        <v>108.77000000000001</v>
      </c>
      <c r="P10" s="57">
        <f t="shared" ref="P10:P55" si="4">$O$9*17%</f>
        <v>18.490900000000003</v>
      </c>
      <c r="Q10" s="60">
        <f t="shared" ref="Q10:Q53" si="5">P10+O10</f>
        <v>127.26090000000002</v>
      </c>
      <c r="R10" s="65">
        <f t="shared" ref="R10:R53" si="6">L10*0.12</f>
        <v>0.37440000000000001</v>
      </c>
      <c r="S10" s="65">
        <f t="shared" ref="S10:S53" si="7">L10*0.24</f>
        <v>0.74880000000000002</v>
      </c>
      <c r="T10" s="61">
        <f>L10*0.05</f>
        <v>0.15600000000000003</v>
      </c>
      <c r="U10" s="61"/>
      <c r="V10" s="66"/>
      <c r="W10" s="61"/>
      <c r="X10" s="57">
        <f t="shared" ref="X10:X53" si="8">(T10+U10+V10+W10)*0.16</f>
        <v>2.4960000000000006E-2</v>
      </c>
      <c r="Y10" s="65">
        <f t="shared" ref="Y10:Y53" si="9">Q10+R10+T10+U10+V10+W10+X10-L10</f>
        <v>124.69626000000001</v>
      </c>
      <c r="Z10" s="65">
        <f t="shared" ref="Z10:Z53" si="10">Q10+S10+T10+U10+V10+W10+X10-L10</f>
        <v>125.07066</v>
      </c>
      <c r="AA10" s="64">
        <f>'PMG Master'!AA10</f>
        <v>0.41844999999999999</v>
      </c>
      <c r="AB10" s="65">
        <f t="shared" ref="AB10:AB53" si="11">AA10*0.17</f>
        <v>7.1136500000000005E-2</v>
      </c>
      <c r="AC10" s="65">
        <v>0</v>
      </c>
      <c r="AD10" s="65">
        <f t="shared" ref="AD10:AD53" si="12">Y10+AA10+AB10</f>
        <v>125.1858465</v>
      </c>
      <c r="AE10" s="65">
        <f t="shared" ref="AE10:AE53" si="13">Z10+AA10+AB10</f>
        <v>125.56024650000001</v>
      </c>
      <c r="AF10" s="65">
        <f t="shared" ref="AF10:AF53" si="14">Q10+AA10+AB10</f>
        <v>127.75048650000002</v>
      </c>
      <c r="AG10" s="40"/>
      <c r="AH10" s="37">
        <f t="shared" ref="AH10:AH52" si="15">K10+T10+U10+V10+W10</f>
        <v>2.9660000000000002</v>
      </c>
      <c r="AI10" s="46">
        <f t="shared" ref="AI10:AI52" si="16">AF10-AD10</f>
        <v>2.5646400000000256</v>
      </c>
      <c r="AJ10" s="47">
        <f t="shared" ref="AJ10:AJ52" si="17">X10+V10+T10+R10</f>
        <v>0.55536000000000008</v>
      </c>
      <c r="AK10" s="47">
        <f t="shared" ref="AK10:AK52" si="18">AD10+AI10</f>
        <v>127.75048650000002</v>
      </c>
      <c r="AL10" s="47">
        <f t="shared" ref="AL10:AL51" si="19">AK10-AF10</f>
        <v>0</v>
      </c>
    </row>
    <row r="11" spans="1:38" s="22" customFormat="1" ht="15" customHeight="1" x14ac:dyDescent="0.2">
      <c r="A11" s="39">
        <f>A10+1</f>
        <v>3</v>
      </c>
      <c r="B11" s="38" t="s">
        <v>124</v>
      </c>
      <c r="C11" s="38" t="str">
        <f>'PMG Master'!C11</f>
        <v>Al-Mustafa CNG F/S</v>
      </c>
      <c r="D11" s="41" t="s">
        <v>15</v>
      </c>
      <c r="E11" s="12" t="s">
        <v>16</v>
      </c>
      <c r="F11" s="57">
        <v>83.65</v>
      </c>
      <c r="G11" s="57">
        <v>0.03</v>
      </c>
      <c r="H11" s="57">
        <f t="shared" si="0"/>
        <v>83.68</v>
      </c>
      <c r="I11" s="57">
        <v>1.1599999999999999</v>
      </c>
      <c r="J11" s="60">
        <f t="shared" si="1"/>
        <v>84.84</v>
      </c>
      <c r="K11" s="60">
        <v>2.81</v>
      </c>
      <c r="L11" s="57">
        <v>3.12</v>
      </c>
      <c r="M11" s="57">
        <f t="shared" si="2"/>
        <v>90.77000000000001</v>
      </c>
      <c r="N11" s="60">
        <v>18</v>
      </c>
      <c r="O11" s="81">
        <f t="shared" si="3"/>
        <v>108.77000000000001</v>
      </c>
      <c r="P11" s="57">
        <f t="shared" si="4"/>
        <v>18.490900000000003</v>
      </c>
      <c r="Q11" s="60">
        <f t="shared" si="5"/>
        <v>127.26090000000002</v>
      </c>
      <c r="R11" s="65">
        <f t="shared" si="6"/>
        <v>0.37440000000000001</v>
      </c>
      <c r="S11" s="65">
        <f t="shared" si="7"/>
        <v>0.74880000000000002</v>
      </c>
      <c r="T11" s="61">
        <f>L11*0.05</f>
        <v>0.15600000000000003</v>
      </c>
      <c r="U11" s="61"/>
      <c r="V11" s="66"/>
      <c r="W11" s="61"/>
      <c r="X11" s="57">
        <f t="shared" si="8"/>
        <v>2.4960000000000006E-2</v>
      </c>
      <c r="Y11" s="65">
        <f t="shared" si="9"/>
        <v>124.69626000000001</v>
      </c>
      <c r="Z11" s="65">
        <f t="shared" si="10"/>
        <v>125.07066</v>
      </c>
      <c r="AA11" s="64">
        <f>'PMG Master'!AA11</f>
        <v>0.41844999999999999</v>
      </c>
      <c r="AB11" s="65">
        <f t="shared" si="11"/>
        <v>7.1136500000000005E-2</v>
      </c>
      <c r="AC11" s="65">
        <v>0</v>
      </c>
      <c r="AD11" s="65">
        <f t="shared" si="12"/>
        <v>125.1858465</v>
      </c>
      <c r="AE11" s="65">
        <f t="shared" si="13"/>
        <v>125.56024650000001</v>
      </c>
      <c r="AF11" s="65">
        <f t="shared" si="14"/>
        <v>127.75048650000002</v>
      </c>
      <c r="AG11" s="40"/>
      <c r="AH11" s="37">
        <f t="shared" si="15"/>
        <v>2.9660000000000002</v>
      </c>
      <c r="AI11" s="46">
        <f t="shared" si="16"/>
        <v>2.5646400000000256</v>
      </c>
      <c r="AJ11" s="47">
        <f t="shared" si="17"/>
        <v>0.55536000000000008</v>
      </c>
      <c r="AK11" s="47">
        <f t="shared" si="18"/>
        <v>127.75048650000002</v>
      </c>
      <c r="AL11" s="47">
        <f t="shared" si="19"/>
        <v>0</v>
      </c>
    </row>
    <row r="12" spans="1:38" s="22" customFormat="1" ht="15" customHeight="1" x14ac:dyDescent="0.2">
      <c r="A12" s="39">
        <f t="shared" ref="A12:A55" si="20">A11+1</f>
        <v>4</v>
      </c>
      <c r="B12" s="38" t="s">
        <v>112</v>
      </c>
      <c r="C12" s="38" t="str">
        <f>'PMG Master'!C12</f>
        <v>Toheed F/S</v>
      </c>
      <c r="D12" s="41" t="s">
        <v>18</v>
      </c>
      <c r="E12" s="12" t="s">
        <v>16</v>
      </c>
      <c r="F12" s="57">
        <v>83.65</v>
      </c>
      <c r="G12" s="57">
        <v>0.03</v>
      </c>
      <c r="H12" s="57">
        <f t="shared" si="0"/>
        <v>83.68</v>
      </c>
      <c r="I12" s="57">
        <v>1.1599999999999999</v>
      </c>
      <c r="J12" s="60">
        <f t="shared" si="1"/>
        <v>84.84</v>
      </c>
      <c r="K12" s="60">
        <v>2.81</v>
      </c>
      <c r="L12" s="57">
        <v>3.12</v>
      </c>
      <c r="M12" s="57">
        <f t="shared" si="2"/>
        <v>90.77000000000001</v>
      </c>
      <c r="N12" s="60">
        <v>18</v>
      </c>
      <c r="O12" s="81">
        <f t="shared" si="3"/>
        <v>108.77000000000001</v>
      </c>
      <c r="P12" s="57">
        <f t="shared" si="4"/>
        <v>18.490900000000003</v>
      </c>
      <c r="Q12" s="60">
        <f t="shared" si="5"/>
        <v>127.26090000000002</v>
      </c>
      <c r="R12" s="65">
        <f t="shared" si="6"/>
        <v>0.37440000000000001</v>
      </c>
      <c r="S12" s="65">
        <f t="shared" si="7"/>
        <v>0.74880000000000002</v>
      </c>
      <c r="T12" s="61">
        <f>L12*0.05</f>
        <v>0.15600000000000003</v>
      </c>
      <c r="U12" s="61"/>
      <c r="V12" s="66"/>
      <c r="W12" s="61"/>
      <c r="X12" s="57">
        <f t="shared" si="8"/>
        <v>2.4960000000000006E-2</v>
      </c>
      <c r="Y12" s="65">
        <f t="shared" si="9"/>
        <v>124.69626000000001</v>
      </c>
      <c r="Z12" s="65">
        <f t="shared" si="10"/>
        <v>125.07066</v>
      </c>
      <c r="AA12" s="64">
        <f>'PMG Master'!AA12</f>
        <v>0.5704806</v>
      </c>
      <c r="AB12" s="65">
        <f t="shared" si="11"/>
        <v>9.6981702000000003E-2</v>
      </c>
      <c r="AC12" s="65">
        <v>0</v>
      </c>
      <c r="AD12" s="65">
        <f t="shared" si="12"/>
        <v>125.363722302</v>
      </c>
      <c r="AE12" s="65">
        <f t="shared" si="13"/>
        <v>125.73812230199999</v>
      </c>
      <c r="AF12" s="65">
        <f t="shared" si="14"/>
        <v>127.92836230200001</v>
      </c>
      <c r="AG12" s="40"/>
      <c r="AH12" s="37">
        <f t="shared" si="15"/>
        <v>2.9660000000000002</v>
      </c>
      <c r="AI12" s="46">
        <f t="shared" si="16"/>
        <v>2.5646400000000114</v>
      </c>
      <c r="AJ12" s="47">
        <f t="shared" si="17"/>
        <v>0.55536000000000008</v>
      </c>
      <c r="AK12" s="47">
        <f t="shared" si="18"/>
        <v>127.92836230200001</v>
      </c>
      <c r="AL12" s="47">
        <f t="shared" si="19"/>
        <v>0</v>
      </c>
    </row>
    <row r="13" spans="1:38" s="22" customFormat="1" ht="15" customHeight="1" x14ac:dyDescent="0.2">
      <c r="A13" s="39">
        <f t="shared" si="20"/>
        <v>5</v>
      </c>
      <c r="B13" s="38" t="s">
        <v>127</v>
      </c>
      <c r="C13" s="38" t="str">
        <f>'PMG Master'!C13</f>
        <v>Yousaf Zai F/S</v>
      </c>
      <c r="D13" s="41" t="s">
        <v>20</v>
      </c>
      <c r="E13" s="12" t="s">
        <v>21</v>
      </c>
      <c r="F13" s="57">
        <v>83.65</v>
      </c>
      <c r="G13" s="57">
        <v>0.03</v>
      </c>
      <c r="H13" s="57">
        <f t="shared" si="0"/>
        <v>83.68</v>
      </c>
      <c r="I13" s="57">
        <v>1.1599999999999999</v>
      </c>
      <c r="J13" s="60">
        <f t="shared" si="1"/>
        <v>84.84</v>
      </c>
      <c r="K13" s="60">
        <v>2.81</v>
      </c>
      <c r="L13" s="57">
        <v>3.12</v>
      </c>
      <c r="M13" s="57">
        <f t="shared" si="2"/>
        <v>90.77000000000001</v>
      </c>
      <c r="N13" s="60">
        <v>18</v>
      </c>
      <c r="O13" s="81">
        <f t="shared" si="3"/>
        <v>108.77000000000001</v>
      </c>
      <c r="P13" s="57">
        <f t="shared" si="4"/>
        <v>18.490900000000003</v>
      </c>
      <c r="Q13" s="60">
        <f t="shared" si="5"/>
        <v>127.26090000000002</v>
      </c>
      <c r="R13" s="65">
        <f t="shared" si="6"/>
        <v>0.37440000000000001</v>
      </c>
      <c r="S13" s="65">
        <f t="shared" si="7"/>
        <v>0.74880000000000002</v>
      </c>
      <c r="T13" s="61">
        <f>L13*0.07</f>
        <v>0.21840000000000004</v>
      </c>
      <c r="U13" s="61"/>
      <c r="V13" s="66"/>
      <c r="W13" s="61"/>
      <c r="X13" s="57">
        <f t="shared" si="8"/>
        <v>3.494400000000001E-2</v>
      </c>
      <c r="Y13" s="65">
        <f t="shared" si="9"/>
        <v>124.76864400000001</v>
      </c>
      <c r="Z13" s="65">
        <f t="shared" si="10"/>
        <v>125.143044</v>
      </c>
      <c r="AA13" s="64">
        <f>'PMG Master'!AA13</f>
        <v>1.0274785</v>
      </c>
      <c r="AB13" s="65">
        <f t="shared" si="11"/>
        <v>0.17467134500000001</v>
      </c>
      <c r="AC13" s="65">
        <v>0</v>
      </c>
      <c r="AD13" s="65">
        <f t="shared" si="12"/>
        <v>125.970793845</v>
      </c>
      <c r="AE13" s="65">
        <f t="shared" si="13"/>
        <v>126.345193845</v>
      </c>
      <c r="AF13" s="65">
        <f t="shared" si="14"/>
        <v>128.46304984500003</v>
      </c>
      <c r="AG13" s="40"/>
      <c r="AH13" s="37">
        <f t="shared" si="15"/>
        <v>3.0284</v>
      </c>
      <c r="AI13" s="46">
        <f t="shared" si="16"/>
        <v>2.492256000000026</v>
      </c>
      <c r="AJ13" s="47">
        <f t="shared" si="17"/>
        <v>0.62774400000000008</v>
      </c>
      <c r="AK13" s="47">
        <f t="shared" si="18"/>
        <v>128.46304984500003</v>
      </c>
      <c r="AL13" s="47">
        <f t="shared" si="19"/>
        <v>0</v>
      </c>
    </row>
    <row r="14" spans="1:38" s="22" customFormat="1" ht="15" customHeight="1" x14ac:dyDescent="0.2">
      <c r="A14" s="39">
        <f t="shared" si="20"/>
        <v>6</v>
      </c>
      <c r="B14" s="38"/>
      <c r="C14" s="38" t="s">
        <v>22</v>
      </c>
      <c r="D14" s="4" t="s">
        <v>18</v>
      </c>
      <c r="E14" s="12" t="s">
        <v>13</v>
      </c>
      <c r="F14" s="57">
        <v>83.65</v>
      </c>
      <c r="G14" s="57">
        <v>0.03</v>
      </c>
      <c r="H14" s="57">
        <f t="shared" si="0"/>
        <v>83.68</v>
      </c>
      <c r="I14" s="57">
        <v>1.1599999999999999</v>
      </c>
      <c r="J14" s="60">
        <f t="shared" si="1"/>
        <v>84.84</v>
      </c>
      <c r="K14" s="60">
        <v>2.81</v>
      </c>
      <c r="L14" s="57">
        <v>3.12</v>
      </c>
      <c r="M14" s="57">
        <f t="shared" si="2"/>
        <v>90.77000000000001</v>
      </c>
      <c r="N14" s="60">
        <v>18</v>
      </c>
      <c r="O14" s="60">
        <f t="shared" si="3"/>
        <v>108.77000000000001</v>
      </c>
      <c r="P14" s="57">
        <f t="shared" si="4"/>
        <v>18.490900000000003</v>
      </c>
      <c r="Q14" s="60">
        <f t="shared" si="5"/>
        <v>127.26090000000002</v>
      </c>
      <c r="R14" s="65">
        <f t="shared" si="6"/>
        <v>0.37440000000000001</v>
      </c>
      <c r="S14" s="65">
        <f t="shared" si="7"/>
        <v>0.74880000000000002</v>
      </c>
      <c r="T14" s="61">
        <f>L14*0.05</f>
        <v>0.15600000000000003</v>
      </c>
      <c r="U14" s="61"/>
      <c r="V14" s="66"/>
      <c r="W14" s="61"/>
      <c r="X14" s="57">
        <f t="shared" si="8"/>
        <v>2.4960000000000006E-2</v>
      </c>
      <c r="Y14" s="65">
        <f t="shared" si="9"/>
        <v>124.69626000000001</v>
      </c>
      <c r="Z14" s="65">
        <f t="shared" si="10"/>
        <v>125.07066</v>
      </c>
      <c r="AA14" s="64">
        <f>180*3.0671/1000</f>
        <v>0.55207799999999996</v>
      </c>
      <c r="AB14" s="65">
        <f t="shared" si="11"/>
        <v>9.3853259999999994E-2</v>
      </c>
      <c r="AC14" s="65">
        <v>0</v>
      </c>
      <c r="AD14" s="65">
        <f t="shared" si="12"/>
        <v>125.34219126000001</v>
      </c>
      <c r="AE14" s="65">
        <f t="shared" si="13"/>
        <v>125.71659126</v>
      </c>
      <c r="AF14" s="65">
        <f t="shared" si="14"/>
        <v>127.90683126000002</v>
      </c>
      <c r="AG14" s="40"/>
      <c r="AH14" s="37">
        <f t="shared" si="15"/>
        <v>2.9660000000000002</v>
      </c>
      <c r="AI14" s="46">
        <f t="shared" si="16"/>
        <v>2.5646400000000114</v>
      </c>
      <c r="AJ14" s="47">
        <f t="shared" si="17"/>
        <v>0.55536000000000008</v>
      </c>
      <c r="AK14" s="47">
        <f t="shared" si="18"/>
        <v>127.90683126000002</v>
      </c>
      <c r="AL14" s="47">
        <f t="shared" si="19"/>
        <v>0</v>
      </c>
    </row>
    <row r="15" spans="1:38" s="22" customFormat="1" ht="15" customHeight="1" x14ac:dyDescent="0.2">
      <c r="A15" s="39">
        <f t="shared" si="20"/>
        <v>7</v>
      </c>
      <c r="B15" s="38"/>
      <c r="C15" s="38" t="s">
        <v>23</v>
      </c>
      <c r="D15" s="4" t="s">
        <v>24</v>
      </c>
      <c r="E15" s="12" t="s">
        <v>25</v>
      </c>
      <c r="F15" s="57">
        <v>83.65</v>
      </c>
      <c r="G15" s="57">
        <v>0.03</v>
      </c>
      <c r="H15" s="57">
        <f t="shared" si="0"/>
        <v>83.68</v>
      </c>
      <c r="I15" s="57">
        <v>1.1599999999999999</v>
      </c>
      <c r="J15" s="60">
        <f t="shared" si="1"/>
        <v>84.84</v>
      </c>
      <c r="K15" s="60">
        <v>2.81</v>
      </c>
      <c r="L15" s="57">
        <v>3.12</v>
      </c>
      <c r="M15" s="57">
        <f t="shared" si="2"/>
        <v>90.77000000000001</v>
      </c>
      <c r="N15" s="60">
        <v>18</v>
      </c>
      <c r="O15" s="60">
        <f t="shared" si="3"/>
        <v>108.77000000000001</v>
      </c>
      <c r="P15" s="57">
        <f t="shared" si="4"/>
        <v>18.490900000000003</v>
      </c>
      <c r="Q15" s="60">
        <f t="shared" si="5"/>
        <v>127.26090000000002</v>
      </c>
      <c r="R15" s="65">
        <f t="shared" si="6"/>
        <v>0.37440000000000001</v>
      </c>
      <c r="S15" s="65">
        <f t="shared" si="7"/>
        <v>0.74880000000000002</v>
      </c>
      <c r="T15" s="61">
        <f>L15*0.05</f>
        <v>0.15600000000000003</v>
      </c>
      <c r="U15" s="61"/>
      <c r="V15" s="66"/>
      <c r="W15" s="61"/>
      <c r="X15" s="57">
        <f t="shared" si="8"/>
        <v>2.4960000000000006E-2</v>
      </c>
      <c r="Y15" s="65">
        <f t="shared" si="9"/>
        <v>124.69626000000001</v>
      </c>
      <c r="Z15" s="65">
        <f t="shared" si="10"/>
        <v>125.07066</v>
      </c>
      <c r="AA15" s="64">
        <f>418.45/1000</f>
        <v>0.41844999999999999</v>
      </c>
      <c r="AB15" s="65">
        <f t="shared" si="11"/>
        <v>7.1136500000000005E-2</v>
      </c>
      <c r="AC15" s="65">
        <v>0</v>
      </c>
      <c r="AD15" s="65">
        <f t="shared" si="12"/>
        <v>125.1858465</v>
      </c>
      <c r="AE15" s="65">
        <f t="shared" si="13"/>
        <v>125.56024650000001</v>
      </c>
      <c r="AF15" s="65">
        <f t="shared" si="14"/>
        <v>127.75048650000002</v>
      </c>
      <c r="AG15" s="40"/>
      <c r="AH15" s="37">
        <f t="shared" si="15"/>
        <v>2.9660000000000002</v>
      </c>
      <c r="AI15" s="46">
        <f t="shared" si="16"/>
        <v>2.5646400000000256</v>
      </c>
      <c r="AJ15" s="47">
        <f t="shared" si="17"/>
        <v>0.55536000000000008</v>
      </c>
      <c r="AK15" s="47">
        <f t="shared" si="18"/>
        <v>127.75048650000002</v>
      </c>
      <c r="AL15" s="47">
        <f t="shared" si="19"/>
        <v>0</v>
      </c>
    </row>
    <row r="16" spans="1:38" s="22" customFormat="1" ht="15" customHeight="1" x14ac:dyDescent="0.2">
      <c r="A16" s="39">
        <f t="shared" si="20"/>
        <v>8</v>
      </c>
      <c r="B16" s="38"/>
      <c r="C16" s="38" t="s">
        <v>26</v>
      </c>
      <c r="D16" s="4" t="s">
        <v>27</v>
      </c>
      <c r="E16" s="12" t="s">
        <v>13</v>
      </c>
      <c r="F16" s="57">
        <v>83.65</v>
      </c>
      <c r="G16" s="57">
        <v>0.03</v>
      </c>
      <c r="H16" s="57">
        <f t="shared" si="0"/>
        <v>83.68</v>
      </c>
      <c r="I16" s="57">
        <v>1.1599999999999999</v>
      </c>
      <c r="J16" s="60">
        <f t="shared" si="1"/>
        <v>84.84</v>
      </c>
      <c r="K16" s="60">
        <v>2.81</v>
      </c>
      <c r="L16" s="57">
        <v>3.12</v>
      </c>
      <c r="M16" s="57">
        <f t="shared" si="2"/>
        <v>90.77000000000001</v>
      </c>
      <c r="N16" s="60">
        <v>18</v>
      </c>
      <c r="O16" s="60">
        <f t="shared" si="3"/>
        <v>108.77000000000001</v>
      </c>
      <c r="P16" s="57">
        <f t="shared" si="4"/>
        <v>18.490900000000003</v>
      </c>
      <c r="Q16" s="60">
        <f t="shared" si="5"/>
        <v>127.26090000000002</v>
      </c>
      <c r="R16" s="65">
        <f t="shared" si="6"/>
        <v>0.37440000000000001</v>
      </c>
      <c r="S16" s="65">
        <f t="shared" si="7"/>
        <v>0.74880000000000002</v>
      </c>
      <c r="T16" s="61">
        <f>L16*0.05</f>
        <v>0.15600000000000003</v>
      </c>
      <c r="U16" s="61"/>
      <c r="V16" s="66"/>
      <c r="W16" s="61"/>
      <c r="X16" s="57">
        <f t="shared" si="8"/>
        <v>2.4960000000000006E-2</v>
      </c>
      <c r="Y16" s="65">
        <f t="shared" si="9"/>
        <v>124.69626000000001</v>
      </c>
      <c r="Z16" s="65">
        <f t="shared" si="10"/>
        <v>125.07066</v>
      </c>
      <c r="AA16" s="64">
        <f>280*3.0671/1000</f>
        <v>0.858788</v>
      </c>
      <c r="AB16" s="65">
        <f t="shared" si="11"/>
        <v>0.14599396000000001</v>
      </c>
      <c r="AC16" s="65">
        <v>0</v>
      </c>
      <c r="AD16" s="65">
        <f t="shared" si="12"/>
        <v>125.70104196000001</v>
      </c>
      <c r="AE16" s="65">
        <f t="shared" si="13"/>
        <v>126.07544196000001</v>
      </c>
      <c r="AF16" s="65">
        <f t="shared" si="14"/>
        <v>128.26568196000002</v>
      </c>
      <c r="AG16" s="40"/>
      <c r="AH16" s="37">
        <f t="shared" si="15"/>
        <v>2.9660000000000002</v>
      </c>
      <c r="AI16" s="46">
        <f t="shared" si="16"/>
        <v>2.5646400000000114</v>
      </c>
      <c r="AJ16" s="47">
        <f t="shared" si="17"/>
        <v>0.55536000000000008</v>
      </c>
      <c r="AK16" s="47">
        <f t="shared" si="18"/>
        <v>128.26568196000002</v>
      </c>
      <c r="AL16" s="47">
        <f t="shared" si="19"/>
        <v>0</v>
      </c>
    </row>
    <row r="17" spans="1:38" s="22" customFormat="1" ht="15" customHeight="1" x14ac:dyDescent="0.2">
      <c r="A17" s="39">
        <f t="shared" si="20"/>
        <v>9</v>
      </c>
      <c r="B17" s="38"/>
      <c r="C17" s="38" t="s">
        <v>28</v>
      </c>
      <c r="D17" s="4" t="s">
        <v>9</v>
      </c>
      <c r="E17" s="12" t="s">
        <v>10</v>
      </c>
      <c r="F17" s="57">
        <v>83.65</v>
      </c>
      <c r="G17" s="57">
        <v>0.03</v>
      </c>
      <c r="H17" s="57">
        <f t="shared" si="0"/>
        <v>83.68</v>
      </c>
      <c r="I17" s="57">
        <v>1.1599999999999999</v>
      </c>
      <c r="J17" s="60">
        <f t="shared" si="1"/>
        <v>84.84</v>
      </c>
      <c r="K17" s="60">
        <v>2.81</v>
      </c>
      <c r="L17" s="57">
        <v>3.12</v>
      </c>
      <c r="M17" s="57">
        <f t="shared" si="2"/>
        <v>90.77000000000001</v>
      </c>
      <c r="N17" s="60">
        <v>18</v>
      </c>
      <c r="O17" s="60">
        <f t="shared" si="3"/>
        <v>108.77000000000001</v>
      </c>
      <c r="P17" s="57">
        <f t="shared" si="4"/>
        <v>18.490900000000003</v>
      </c>
      <c r="Q17" s="60">
        <f t="shared" si="5"/>
        <v>127.26090000000002</v>
      </c>
      <c r="R17" s="65">
        <f t="shared" si="6"/>
        <v>0.37440000000000001</v>
      </c>
      <c r="S17" s="65">
        <f t="shared" si="7"/>
        <v>0.74880000000000002</v>
      </c>
      <c r="T17" s="61">
        <f>L17*0.09</f>
        <v>0.28079999999999999</v>
      </c>
      <c r="U17" s="61">
        <v>0.06</v>
      </c>
      <c r="V17" s="61">
        <v>0.02</v>
      </c>
      <c r="W17" s="61">
        <v>0.03</v>
      </c>
      <c r="X17" s="57">
        <f t="shared" si="8"/>
        <v>6.2528E-2</v>
      </c>
      <c r="Y17" s="65">
        <f t="shared" si="9"/>
        <v>124.968628</v>
      </c>
      <c r="Z17" s="65">
        <f t="shared" si="10"/>
        <v>125.343028</v>
      </c>
      <c r="AA17" s="64">
        <f>414.73/1000</f>
        <v>0.41473000000000004</v>
      </c>
      <c r="AB17" s="65">
        <f t="shared" si="11"/>
        <v>7.0504100000000014E-2</v>
      </c>
      <c r="AC17" s="65">
        <v>0</v>
      </c>
      <c r="AD17" s="65">
        <f t="shared" si="12"/>
        <v>125.45386209999999</v>
      </c>
      <c r="AE17" s="65">
        <f t="shared" si="13"/>
        <v>125.8282621</v>
      </c>
      <c r="AF17" s="65">
        <f t="shared" si="14"/>
        <v>127.74613410000002</v>
      </c>
      <c r="AG17" s="40"/>
      <c r="AH17" s="37">
        <f t="shared" si="15"/>
        <v>3.2008000000000001</v>
      </c>
      <c r="AI17" s="46">
        <f t="shared" si="16"/>
        <v>2.2922720000000254</v>
      </c>
      <c r="AJ17" s="47">
        <f t="shared" si="17"/>
        <v>0.73772799999999994</v>
      </c>
      <c r="AK17" s="47">
        <f t="shared" si="18"/>
        <v>127.74613410000002</v>
      </c>
      <c r="AL17" s="47">
        <f t="shared" si="19"/>
        <v>0</v>
      </c>
    </row>
    <row r="18" spans="1:38" s="22" customFormat="1" ht="15" customHeight="1" x14ac:dyDescent="0.2">
      <c r="A18" s="39">
        <f t="shared" si="20"/>
        <v>10</v>
      </c>
      <c r="B18" s="38"/>
      <c r="C18" s="38" t="s">
        <v>29</v>
      </c>
      <c r="D18" s="4" t="s">
        <v>9</v>
      </c>
      <c r="E18" s="12" t="s">
        <v>16</v>
      </c>
      <c r="F18" s="57">
        <v>83.65</v>
      </c>
      <c r="G18" s="57">
        <v>0.03</v>
      </c>
      <c r="H18" s="57">
        <f t="shared" si="0"/>
        <v>83.68</v>
      </c>
      <c r="I18" s="57">
        <v>1.1599999999999999</v>
      </c>
      <c r="J18" s="60">
        <f t="shared" si="1"/>
        <v>84.84</v>
      </c>
      <c r="K18" s="60">
        <v>2.81</v>
      </c>
      <c r="L18" s="57">
        <v>3.12</v>
      </c>
      <c r="M18" s="57">
        <f t="shared" si="2"/>
        <v>90.77000000000001</v>
      </c>
      <c r="N18" s="60">
        <v>18</v>
      </c>
      <c r="O18" s="60">
        <f t="shared" si="3"/>
        <v>108.77000000000001</v>
      </c>
      <c r="P18" s="57">
        <f t="shared" si="4"/>
        <v>18.490900000000003</v>
      </c>
      <c r="Q18" s="60">
        <f t="shared" si="5"/>
        <v>127.26090000000002</v>
      </c>
      <c r="R18" s="65">
        <f t="shared" si="6"/>
        <v>0.37440000000000001</v>
      </c>
      <c r="S18" s="65">
        <f t="shared" si="7"/>
        <v>0.74880000000000002</v>
      </c>
      <c r="T18" s="61">
        <f>L18*0.05</f>
        <v>0.15600000000000003</v>
      </c>
      <c r="U18" s="61"/>
      <c r="V18" s="66"/>
      <c r="W18" s="61"/>
      <c r="X18" s="57">
        <f t="shared" si="8"/>
        <v>2.4960000000000006E-2</v>
      </c>
      <c r="Y18" s="65">
        <f t="shared" si="9"/>
        <v>124.69626000000001</v>
      </c>
      <c r="Z18" s="65">
        <f t="shared" si="10"/>
        <v>125.07066</v>
      </c>
      <c r="AA18" s="64">
        <f>190*3.0671/1000</f>
        <v>0.58274900000000007</v>
      </c>
      <c r="AB18" s="65">
        <f t="shared" si="11"/>
        <v>9.9067330000000023E-2</v>
      </c>
      <c r="AC18" s="65">
        <v>0</v>
      </c>
      <c r="AD18" s="65">
        <f t="shared" si="12"/>
        <v>125.37807633000001</v>
      </c>
      <c r="AE18" s="65">
        <f t="shared" si="13"/>
        <v>125.75247633000001</v>
      </c>
      <c r="AF18" s="65">
        <f t="shared" si="14"/>
        <v>127.94271633000002</v>
      </c>
      <c r="AG18" s="40"/>
      <c r="AH18" s="37">
        <f t="shared" si="15"/>
        <v>2.9660000000000002</v>
      </c>
      <c r="AI18" s="46">
        <f t="shared" si="16"/>
        <v>2.5646400000000114</v>
      </c>
      <c r="AJ18" s="47">
        <f t="shared" si="17"/>
        <v>0.55536000000000008</v>
      </c>
      <c r="AK18" s="47">
        <f t="shared" si="18"/>
        <v>127.94271633000002</v>
      </c>
      <c r="AL18" s="47">
        <f t="shared" si="19"/>
        <v>0</v>
      </c>
    </row>
    <row r="19" spans="1:38" s="22" customFormat="1" ht="15" customHeight="1" x14ac:dyDescent="0.2">
      <c r="A19" s="39">
        <f t="shared" si="20"/>
        <v>11</v>
      </c>
      <c r="B19" s="38" t="s">
        <v>126</v>
      </c>
      <c r="C19" s="38" t="str">
        <f>'PMG Master'!C19</f>
        <v>Friends Petroleum</v>
      </c>
      <c r="D19" s="4" t="s">
        <v>31</v>
      </c>
      <c r="E19" s="12" t="s">
        <v>16</v>
      </c>
      <c r="F19" s="57">
        <v>83.65</v>
      </c>
      <c r="G19" s="57">
        <v>0.03</v>
      </c>
      <c r="H19" s="57">
        <f t="shared" si="0"/>
        <v>83.68</v>
      </c>
      <c r="I19" s="57">
        <v>1.1599999999999999</v>
      </c>
      <c r="J19" s="60">
        <f t="shared" si="1"/>
        <v>84.84</v>
      </c>
      <c r="K19" s="60">
        <v>2.81</v>
      </c>
      <c r="L19" s="57">
        <v>3.12</v>
      </c>
      <c r="M19" s="57">
        <f t="shared" si="2"/>
        <v>90.77000000000001</v>
      </c>
      <c r="N19" s="60">
        <v>18</v>
      </c>
      <c r="O19" s="81">
        <f t="shared" si="3"/>
        <v>108.77000000000001</v>
      </c>
      <c r="P19" s="57">
        <f t="shared" si="4"/>
        <v>18.490900000000003</v>
      </c>
      <c r="Q19" s="60">
        <f t="shared" si="5"/>
        <v>127.26090000000002</v>
      </c>
      <c r="R19" s="65">
        <f t="shared" si="6"/>
        <v>0.37440000000000001</v>
      </c>
      <c r="S19" s="65">
        <f t="shared" si="7"/>
        <v>0.74880000000000002</v>
      </c>
      <c r="T19" s="61">
        <f t="shared" ref="T19:T23" si="21">L19*0.05</f>
        <v>0.15600000000000003</v>
      </c>
      <c r="U19" s="61"/>
      <c r="V19" s="66"/>
      <c r="W19" s="61"/>
      <c r="X19" s="57">
        <f t="shared" si="8"/>
        <v>2.4960000000000006E-2</v>
      </c>
      <c r="Y19" s="65">
        <f t="shared" si="9"/>
        <v>124.69626000000001</v>
      </c>
      <c r="Z19" s="65">
        <f t="shared" si="10"/>
        <v>125.07066</v>
      </c>
      <c r="AA19" s="64">
        <f>'PMG Master'!AA19</f>
        <v>0.41844999999999999</v>
      </c>
      <c r="AB19" s="65">
        <f t="shared" si="11"/>
        <v>7.1136500000000005E-2</v>
      </c>
      <c r="AC19" s="65">
        <v>0</v>
      </c>
      <c r="AD19" s="65">
        <f t="shared" si="12"/>
        <v>125.1858465</v>
      </c>
      <c r="AE19" s="65">
        <f t="shared" si="13"/>
        <v>125.56024650000001</v>
      </c>
      <c r="AF19" s="65">
        <f t="shared" si="14"/>
        <v>127.75048650000002</v>
      </c>
      <c r="AG19" s="40"/>
      <c r="AH19" s="37">
        <f t="shared" si="15"/>
        <v>2.9660000000000002</v>
      </c>
      <c r="AI19" s="46">
        <f t="shared" si="16"/>
        <v>2.5646400000000256</v>
      </c>
      <c r="AJ19" s="47">
        <f t="shared" si="17"/>
        <v>0.55536000000000008</v>
      </c>
      <c r="AK19" s="47">
        <f t="shared" si="18"/>
        <v>127.75048650000002</v>
      </c>
      <c r="AL19" s="47">
        <f t="shared" si="19"/>
        <v>0</v>
      </c>
    </row>
    <row r="20" spans="1:38" s="22" customFormat="1" ht="15" customHeight="1" x14ac:dyDescent="0.2">
      <c r="A20" s="39">
        <f t="shared" si="20"/>
        <v>12</v>
      </c>
      <c r="B20" s="38"/>
      <c r="C20" s="38" t="s">
        <v>32</v>
      </c>
      <c r="D20" s="4" t="s">
        <v>31</v>
      </c>
      <c r="E20" s="12" t="s">
        <v>16</v>
      </c>
      <c r="F20" s="57">
        <v>83.65</v>
      </c>
      <c r="G20" s="57">
        <v>0.03</v>
      </c>
      <c r="H20" s="57">
        <f t="shared" si="0"/>
        <v>83.68</v>
      </c>
      <c r="I20" s="57">
        <v>1.1599999999999999</v>
      </c>
      <c r="J20" s="60">
        <f t="shared" si="1"/>
        <v>84.84</v>
      </c>
      <c r="K20" s="60">
        <v>2.81</v>
      </c>
      <c r="L20" s="57">
        <v>3.12</v>
      </c>
      <c r="M20" s="57">
        <f t="shared" si="2"/>
        <v>90.77000000000001</v>
      </c>
      <c r="N20" s="60">
        <v>18</v>
      </c>
      <c r="O20" s="60">
        <f t="shared" si="3"/>
        <v>108.77000000000001</v>
      </c>
      <c r="P20" s="57">
        <f t="shared" si="4"/>
        <v>18.490900000000003</v>
      </c>
      <c r="Q20" s="60">
        <f t="shared" si="5"/>
        <v>127.26090000000002</v>
      </c>
      <c r="R20" s="65">
        <f t="shared" si="6"/>
        <v>0.37440000000000001</v>
      </c>
      <c r="S20" s="65">
        <f t="shared" si="7"/>
        <v>0.74880000000000002</v>
      </c>
      <c r="T20" s="61">
        <f t="shared" si="21"/>
        <v>0.15600000000000003</v>
      </c>
      <c r="U20" s="61"/>
      <c r="V20" s="66"/>
      <c r="W20" s="61"/>
      <c r="X20" s="57">
        <f t="shared" si="8"/>
        <v>2.4960000000000006E-2</v>
      </c>
      <c r="Y20" s="65">
        <f t="shared" si="9"/>
        <v>124.69626000000001</v>
      </c>
      <c r="Z20" s="65">
        <f t="shared" si="10"/>
        <v>125.07066</v>
      </c>
      <c r="AA20" s="64">
        <f t="shared" ref="AA20:AA23" si="22">418.45/1000</f>
        <v>0.41844999999999999</v>
      </c>
      <c r="AB20" s="65">
        <f t="shared" si="11"/>
        <v>7.1136500000000005E-2</v>
      </c>
      <c r="AC20" s="65">
        <v>0</v>
      </c>
      <c r="AD20" s="65">
        <f t="shared" si="12"/>
        <v>125.1858465</v>
      </c>
      <c r="AE20" s="65">
        <f t="shared" si="13"/>
        <v>125.56024650000001</v>
      </c>
      <c r="AF20" s="65">
        <f t="shared" si="14"/>
        <v>127.75048650000002</v>
      </c>
      <c r="AG20" s="40"/>
      <c r="AH20" s="37">
        <f t="shared" si="15"/>
        <v>2.9660000000000002</v>
      </c>
      <c r="AI20" s="46">
        <f t="shared" si="16"/>
        <v>2.5646400000000256</v>
      </c>
      <c r="AJ20" s="47">
        <f t="shared" si="17"/>
        <v>0.55536000000000008</v>
      </c>
      <c r="AK20" s="47">
        <f t="shared" si="18"/>
        <v>127.75048650000002</v>
      </c>
      <c r="AL20" s="47">
        <f t="shared" si="19"/>
        <v>0</v>
      </c>
    </row>
    <row r="21" spans="1:38" s="22" customFormat="1" ht="15" customHeight="1" x14ac:dyDescent="0.2">
      <c r="A21" s="39">
        <f t="shared" si="20"/>
        <v>13</v>
      </c>
      <c r="B21" s="38" t="s">
        <v>134</v>
      </c>
      <c r="C21" s="38" t="str">
        <f>'PMG Master'!C21</f>
        <v>Al Fareed FS</v>
      </c>
      <c r="D21" s="4" t="s">
        <v>31</v>
      </c>
      <c r="E21" s="12" t="s">
        <v>13</v>
      </c>
      <c r="F21" s="57">
        <v>83.65</v>
      </c>
      <c r="G21" s="57">
        <v>0.03</v>
      </c>
      <c r="H21" s="57">
        <f t="shared" si="0"/>
        <v>83.68</v>
      </c>
      <c r="I21" s="57">
        <v>1.1599999999999999</v>
      </c>
      <c r="J21" s="60">
        <f t="shared" si="1"/>
        <v>84.84</v>
      </c>
      <c r="K21" s="60">
        <v>2.81</v>
      </c>
      <c r="L21" s="57">
        <v>3.12</v>
      </c>
      <c r="M21" s="57">
        <f t="shared" si="2"/>
        <v>90.77000000000001</v>
      </c>
      <c r="N21" s="60">
        <v>18</v>
      </c>
      <c r="O21" s="81">
        <f t="shared" si="3"/>
        <v>108.77000000000001</v>
      </c>
      <c r="P21" s="57">
        <f t="shared" si="4"/>
        <v>18.490900000000003</v>
      </c>
      <c r="Q21" s="60">
        <f t="shared" si="5"/>
        <v>127.26090000000002</v>
      </c>
      <c r="R21" s="65">
        <f t="shared" si="6"/>
        <v>0.37440000000000001</v>
      </c>
      <c r="S21" s="65">
        <f t="shared" si="7"/>
        <v>0.74880000000000002</v>
      </c>
      <c r="T21" s="61">
        <f t="shared" si="21"/>
        <v>0.15600000000000003</v>
      </c>
      <c r="U21" s="61"/>
      <c r="V21" s="66"/>
      <c r="W21" s="61"/>
      <c r="X21" s="57">
        <f t="shared" si="8"/>
        <v>2.4960000000000006E-2</v>
      </c>
      <c r="Y21" s="65">
        <f t="shared" si="9"/>
        <v>124.69626000000001</v>
      </c>
      <c r="Z21" s="65">
        <f t="shared" si="10"/>
        <v>125.07066</v>
      </c>
      <c r="AA21" s="64">
        <f>'PMG Master'!AA21</f>
        <v>0.41844999999999999</v>
      </c>
      <c r="AB21" s="65">
        <f t="shared" si="11"/>
        <v>7.1136500000000005E-2</v>
      </c>
      <c r="AC21" s="65">
        <v>0</v>
      </c>
      <c r="AD21" s="65">
        <f t="shared" si="12"/>
        <v>125.1858465</v>
      </c>
      <c r="AE21" s="65">
        <f t="shared" si="13"/>
        <v>125.56024650000001</v>
      </c>
      <c r="AF21" s="65">
        <f t="shared" si="14"/>
        <v>127.75048650000002</v>
      </c>
      <c r="AG21" s="40"/>
      <c r="AH21" s="37">
        <f t="shared" si="15"/>
        <v>2.9660000000000002</v>
      </c>
      <c r="AI21" s="46">
        <f t="shared" si="16"/>
        <v>2.5646400000000256</v>
      </c>
      <c r="AJ21" s="47">
        <f t="shared" si="17"/>
        <v>0.55536000000000008</v>
      </c>
      <c r="AK21" s="47">
        <f t="shared" si="18"/>
        <v>127.75048650000002</v>
      </c>
      <c r="AL21" s="47">
        <f t="shared" si="19"/>
        <v>0</v>
      </c>
    </row>
    <row r="22" spans="1:38" s="22" customFormat="1" ht="15" customHeight="1" x14ac:dyDescent="0.2">
      <c r="A22" s="39">
        <f t="shared" si="20"/>
        <v>14</v>
      </c>
      <c r="B22" s="38"/>
      <c r="C22" s="38" t="s">
        <v>34</v>
      </c>
      <c r="D22" s="4" t="s">
        <v>35</v>
      </c>
      <c r="E22" s="12" t="s">
        <v>13</v>
      </c>
      <c r="F22" s="57">
        <v>83.65</v>
      </c>
      <c r="G22" s="57">
        <v>0.03</v>
      </c>
      <c r="H22" s="57">
        <f t="shared" si="0"/>
        <v>83.68</v>
      </c>
      <c r="I22" s="57">
        <v>1.1599999999999999</v>
      </c>
      <c r="J22" s="60">
        <f t="shared" si="1"/>
        <v>84.84</v>
      </c>
      <c r="K22" s="60">
        <v>2.81</v>
      </c>
      <c r="L22" s="57">
        <v>3.12</v>
      </c>
      <c r="M22" s="57">
        <f t="shared" si="2"/>
        <v>90.77000000000001</v>
      </c>
      <c r="N22" s="60">
        <v>18</v>
      </c>
      <c r="O22" s="60">
        <f t="shared" si="3"/>
        <v>108.77000000000001</v>
      </c>
      <c r="P22" s="57">
        <f t="shared" si="4"/>
        <v>18.490900000000003</v>
      </c>
      <c r="Q22" s="60">
        <f t="shared" si="5"/>
        <v>127.26090000000002</v>
      </c>
      <c r="R22" s="65">
        <f t="shared" si="6"/>
        <v>0.37440000000000001</v>
      </c>
      <c r="S22" s="65">
        <f t="shared" si="7"/>
        <v>0.74880000000000002</v>
      </c>
      <c r="T22" s="61">
        <f t="shared" si="21"/>
        <v>0.15600000000000003</v>
      </c>
      <c r="U22" s="61"/>
      <c r="V22" s="66"/>
      <c r="W22" s="61"/>
      <c r="X22" s="57">
        <f t="shared" si="8"/>
        <v>2.4960000000000006E-2</v>
      </c>
      <c r="Y22" s="65">
        <f t="shared" si="9"/>
        <v>124.69626000000001</v>
      </c>
      <c r="Z22" s="65">
        <f t="shared" si="10"/>
        <v>125.07066</v>
      </c>
      <c r="AA22" s="64">
        <f t="shared" si="22"/>
        <v>0.41844999999999999</v>
      </c>
      <c r="AB22" s="65">
        <f t="shared" si="11"/>
        <v>7.1136500000000005E-2</v>
      </c>
      <c r="AC22" s="65">
        <v>0</v>
      </c>
      <c r="AD22" s="65">
        <f t="shared" si="12"/>
        <v>125.1858465</v>
      </c>
      <c r="AE22" s="65">
        <f t="shared" si="13"/>
        <v>125.56024650000001</v>
      </c>
      <c r="AF22" s="65">
        <f t="shared" si="14"/>
        <v>127.75048650000002</v>
      </c>
      <c r="AG22" s="40"/>
      <c r="AH22" s="37">
        <f t="shared" si="15"/>
        <v>2.9660000000000002</v>
      </c>
      <c r="AI22" s="46">
        <f t="shared" si="16"/>
        <v>2.5646400000000256</v>
      </c>
      <c r="AJ22" s="47">
        <f t="shared" si="17"/>
        <v>0.55536000000000008</v>
      </c>
      <c r="AK22" s="47">
        <f t="shared" si="18"/>
        <v>127.75048650000002</v>
      </c>
      <c r="AL22" s="47">
        <f t="shared" si="19"/>
        <v>0</v>
      </c>
    </row>
    <row r="23" spans="1:38" s="22" customFormat="1" ht="15" customHeight="1" x14ac:dyDescent="0.2">
      <c r="A23" s="39">
        <f t="shared" si="20"/>
        <v>15</v>
      </c>
      <c r="B23" s="38"/>
      <c r="C23" s="38" t="s">
        <v>36</v>
      </c>
      <c r="D23" s="4" t="s">
        <v>37</v>
      </c>
      <c r="E23" s="12" t="s">
        <v>13</v>
      </c>
      <c r="F23" s="57">
        <v>83.65</v>
      </c>
      <c r="G23" s="57">
        <v>0.03</v>
      </c>
      <c r="H23" s="57">
        <f t="shared" si="0"/>
        <v>83.68</v>
      </c>
      <c r="I23" s="57">
        <v>1.1599999999999999</v>
      </c>
      <c r="J23" s="60">
        <f t="shared" si="1"/>
        <v>84.84</v>
      </c>
      <c r="K23" s="60">
        <v>2.81</v>
      </c>
      <c r="L23" s="57">
        <v>3.12</v>
      </c>
      <c r="M23" s="57">
        <f t="shared" si="2"/>
        <v>90.77000000000001</v>
      </c>
      <c r="N23" s="60">
        <v>18</v>
      </c>
      <c r="O23" s="60">
        <f t="shared" si="3"/>
        <v>108.77000000000001</v>
      </c>
      <c r="P23" s="57">
        <f t="shared" si="4"/>
        <v>18.490900000000003</v>
      </c>
      <c r="Q23" s="60">
        <f t="shared" si="5"/>
        <v>127.26090000000002</v>
      </c>
      <c r="R23" s="65">
        <f t="shared" si="6"/>
        <v>0.37440000000000001</v>
      </c>
      <c r="S23" s="65">
        <f t="shared" si="7"/>
        <v>0.74880000000000002</v>
      </c>
      <c r="T23" s="61">
        <f t="shared" si="21"/>
        <v>0.15600000000000003</v>
      </c>
      <c r="U23" s="61"/>
      <c r="V23" s="66"/>
      <c r="W23" s="61"/>
      <c r="X23" s="57">
        <f t="shared" si="8"/>
        <v>2.4960000000000006E-2</v>
      </c>
      <c r="Y23" s="65">
        <f t="shared" si="9"/>
        <v>124.69626000000001</v>
      </c>
      <c r="Z23" s="65">
        <f t="shared" si="10"/>
        <v>125.07066</v>
      </c>
      <c r="AA23" s="64">
        <f t="shared" si="22"/>
        <v>0.41844999999999999</v>
      </c>
      <c r="AB23" s="65">
        <f t="shared" si="11"/>
        <v>7.1136500000000005E-2</v>
      </c>
      <c r="AC23" s="65">
        <v>0</v>
      </c>
      <c r="AD23" s="65">
        <f t="shared" si="12"/>
        <v>125.1858465</v>
      </c>
      <c r="AE23" s="65">
        <f t="shared" si="13"/>
        <v>125.56024650000001</v>
      </c>
      <c r="AF23" s="65">
        <f t="shared" si="14"/>
        <v>127.75048650000002</v>
      </c>
      <c r="AG23" s="40"/>
      <c r="AH23" s="37">
        <f t="shared" si="15"/>
        <v>2.9660000000000002</v>
      </c>
      <c r="AI23" s="46">
        <f t="shared" si="16"/>
        <v>2.5646400000000256</v>
      </c>
      <c r="AJ23" s="47">
        <f t="shared" si="17"/>
        <v>0.55536000000000008</v>
      </c>
      <c r="AK23" s="47">
        <f t="shared" si="18"/>
        <v>127.75048650000002</v>
      </c>
      <c r="AL23" s="47">
        <f t="shared" si="19"/>
        <v>0</v>
      </c>
    </row>
    <row r="24" spans="1:38" s="22" customFormat="1" ht="15" customHeight="1" x14ac:dyDescent="0.2">
      <c r="A24" s="39">
        <f t="shared" si="20"/>
        <v>16</v>
      </c>
      <c r="B24" s="38"/>
      <c r="C24" s="38" t="s">
        <v>38</v>
      </c>
      <c r="D24" s="4" t="s">
        <v>39</v>
      </c>
      <c r="E24" s="12" t="s">
        <v>21</v>
      </c>
      <c r="F24" s="57">
        <v>83.65</v>
      </c>
      <c r="G24" s="57">
        <v>0.03</v>
      </c>
      <c r="H24" s="57">
        <f t="shared" si="0"/>
        <v>83.68</v>
      </c>
      <c r="I24" s="57">
        <v>1.1599999999999999</v>
      </c>
      <c r="J24" s="60">
        <f t="shared" si="1"/>
        <v>84.84</v>
      </c>
      <c r="K24" s="60">
        <v>2.81</v>
      </c>
      <c r="L24" s="57">
        <v>3.12</v>
      </c>
      <c r="M24" s="57">
        <f t="shared" si="2"/>
        <v>90.77000000000001</v>
      </c>
      <c r="N24" s="60">
        <v>18</v>
      </c>
      <c r="O24" s="60">
        <f t="shared" si="3"/>
        <v>108.77000000000001</v>
      </c>
      <c r="P24" s="57">
        <f t="shared" si="4"/>
        <v>18.490900000000003</v>
      </c>
      <c r="Q24" s="60">
        <f t="shared" si="5"/>
        <v>127.26090000000002</v>
      </c>
      <c r="R24" s="65">
        <f t="shared" si="6"/>
        <v>0.37440000000000001</v>
      </c>
      <c r="S24" s="65">
        <f t="shared" si="7"/>
        <v>0.74880000000000002</v>
      </c>
      <c r="T24" s="61">
        <f>L24*0.07</f>
        <v>0.21840000000000004</v>
      </c>
      <c r="U24" s="61"/>
      <c r="V24" s="66"/>
      <c r="W24" s="61"/>
      <c r="X24" s="57">
        <f t="shared" si="8"/>
        <v>3.494400000000001E-2</v>
      </c>
      <c r="Y24" s="65">
        <f t="shared" si="9"/>
        <v>124.76864400000001</v>
      </c>
      <c r="Z24" s="65">
        <f t="shared" si="10"/>
        <v>125.143044</v>
      </c>
      <c r="AA24" s="64">
        <f>180*3.0671/1000</f>
        <v>0.55207799999999996</v>
      </c>
      <c r="AB24" s="65">
        <f t="shared" si="11"/>
        <v>9.3853259999999994E-2</v>
      </c>
      <c r="AC24" s="65">
        <v>0</v>
      </c>
      <c r="AD24" s="65">
        <f t="shared" si="12"/>
        <v>125.41457526000001</v>
      </c>
      <c r="AE24" s="65">
        <f t="shared" si="13"/>
        <v>125.78897526</v>
      </c>
      <c r="AF24" s="65">
        <f t="shared" si="14"/>
        <v>127.90683126000002</v>
      </c>
      <c r="AG24" s="40"/>
      <c r="AH24" s="37">
        <f t="shared" si="15"/>
        <v>3.0284</v>
      </c>
      <c r="AI24" s="46">
        <f t="shared" si="16"/>
        <v>2.4922560000000118</v>
      </c>
      <c r="AJ24" s="47">
        <f t="shared" si="17"/>
        <v>0.62774400000000008</v>
      </c>
      <c r="AK24" s="47">
        <f t="shared" si="18"/>
        <v>127.90683126000002</v>
      </c>
      <c r="AL24" s="47">
        <f t="shared" si="19"/>
        <v>0</v>
      </c>
    </row>
    <row r="25" spans="1:38" s="22" customFormat="1" ht="15" customHeight="1" x14ac:dyDescent="0.2">
      <c r="A25" s="39">
        <f t="shared" si="20"/>
        <v>17</v>
      </c>
      <c r="B25" s="38" t="str">
        <f>'PMG Master'!B25</f>
        <v>R-00019</v>
      </c>
      <c r="C25" s="80" t="str">
        <f>'PMG Master'!C25</f>
        <v>Al Qadir FS</v>
      </c>
      <c r="D25" s="4" t="s">
        <v>15</v>
      </c>
      <c r="E25" s="12" t="s">
        <v>25</v>
      </c>
      <c r="F25" s="57">
        <v>83.65</v>
      </c>
      <c r="G25" s="57">
        <v>0.03</v>
      </c>
      <c r="H25" s="57">
        <f t="shared" si="0"/>
        <v>83.68</v>
      </c>
      <c r="I25" s="57">
        <v>1.1599999999999999</v>
      </c>
      <c r="J25" s="60">
        <f t="shared" si="1"/>
        <v>84.84</v>
      </c>
      <c r="K25" s="60">
        <v>2.81</v>
      </c>
      <c r="L25" s="57">
        <v>3.12</v>
      </c>
      <c r="M25" s="57">
        <f t="shared" si="2"/>
        <v>90.77000000000001</v>
      </c>
      <c r="N25" s="60">
        <v>18</v>
      </c>
      <c r="O25" s="81">
        <f t="shared" si="3"/>
        <v>108.77000000000001</v>
      </c>
      <c r="P25" s="57">
        <f t="shared" si="4"/>
        <v>18.490900000000003</v>
      </c>
      <c r="Q25" s="60">
        <f t="shared" si="5"/>
        <v>127.26090000000002</v>
      </c>
      <c r="R25" s="65">
        <f t="shared" si="6"/>
        <v>0.37440000000000001</v>
      </c>
      <c r="S25" s="65">
        <f t="shared" si="7"/>
        <v>0.74880000000000002</v>
      </c>
      <c r="T25" s="61">
        <f t="shared" ref="T25:T31" si="23">L25*0.05</f>
        <v>0.15600000000000003</v>
      </c>
      <c r="U25" s="61"/>
      <c r="V25" s="66"/>
      <c r="W25" s="61"/>
      <c r="X25" s="57">
        <f t="shared" si="8"/>
        <v>2.4960000000000006E-2</v>
      </c>
      <c r="Y25" s="65">
        <f t="shared" si="9"/>
        <v>124.69626000000001</v>
      </c>
      <c r="Z25" s="65">
        <f t="shared" si="10"/>
        <v>125.07066</v>
      </c>
      <c r="AA25" s="64">
        <f>'PMG Master'!AA25</f>
        <v>0.41844999999999999</v>
      </c>
      <c r="AB25" s="65">
        <f t="shared" si="11"/>
        <v>7.1136500000000005E-2</v>
      </c>
      <c r="AC25" s="65">
        <v>0</v>
      </c>
      <c r="AD25" s="65">
        <f t="shared" si="12"/>
        <v>125.1858465</v>
      </c>
      <c r="AE25" s="65">
        <f t="shared" si="13"/>
        <v>125.56024650000001</v>
      </c>
      <c r="AF25" s="65">
        <f t="shared" si="14"/>
        <v>127.75048650000002</v>
      </c>
      <c r="AG25" s="40"/>
      <c r="AH25" s="37">
        <f t="shared" si="15"/>
        <v>2.9660000000000002</v>
      </c>
      <c r="AI25" s="46">
        <f t="shared" si="16"/>
        <v>2.5646400000000256</v>
      </c>
      <c r="AJ25" s="47">
        <f t="shared" si="17"/>
        <v>0.55536000000000008</v>
      </c>
      <c r="AK25" s="47">
        <f t="shared" si="18"/>
        <v>127.75048650000002</v>
      </c>
      <c r="AL25" s="47">
        <f t="shared" si="19"/>
        <v>0</v>
      </c>
    </row>
    <row r="26" spans="1:38" s="22" customFormat="1" ht="15" customHeight="1" x14ac:dyDescent="0.2">
      <c r="A26" s="39">
        <f t="shared" si="20"/>
        <v>18</v>
      </c>
      <c r="B26" s="38"/>
      <c r="C26" s="38" t="s">
        <v>41</v>
      </c>
      <c r="D26" s="4" t="s">
        <v>15</v>
      </c>
      <c r="E26" s="12" t="s">
        <v>13</v>
      </c>
      <c r="F26" s="57">
        <v>83.65</v>
      </c>
      <c r="G26" s="57">
        <v>0.03</v>
      </c>
      <c r="H26" s="57">
        <f t="shared" si="0"/>
        <v>83.68</v>
      </c>
      <c r="I26" s="57">
        <v>1.1599999999999999</v>
      </c>
      <c r="J26" s="60">
        <f t="shared" si="1"/>
        <v>84.84</v>
      </c>
      <c r="K26" s="60">
        <v>2.81</v>
      </c>
      <c r="L26" s="57">
        <v>3.12</v>
      </c>
      <c r="M26" s="57">
        <f t="shared" si="2"/>
        <v>90.77000000000001</v>
      </c>
      <c r="N26" s="60">
        <v>18</v>
      </c>
      <c r="O26" s="60">
        <f t="shared" si="3"/>
        <v>108.77000000000001</v>
      </c>
      <c r="P26" s="57">
        <f t="shared" si="4"/>
        <v>18.490900000000003</v>
      </c>
      <c r="Q26" s="60">
        <f t="shared" si="5"/>
        <v>127.26090000000002</v>
      </c>
      <c r="R26" s="65">
        <f t="shared" si="6"/>
        <v>0.37440000000000001</v>
      </c>
      <c r="S26" s="65">
        <f t="shared" si="7"/>
        <v>0.74880000000000002</v>
      </c>
      <c r="T26" s="61">
        <f t="shared" si="23"/>
        <v>0.15600000000000003</v>
      </c>
      <c r="U26" s="61"/>
      <c r="V26" s="66"/>
      <c r="W26" s="61"/>
      <c r="X26" s="57">
        <f t="shared" si="8"/>
        <v>2.4960000000000006E-2</v>
      </c>
      <c r="Y26" s="65">
        <f t="shared" si="9"/>
        <v>124.69626000000001</v>
      </c>
      <c r="Z26" s="65">
        <f t="shared" si="10"/>
        <v>125.07066</v>
      </c>
      <c r="AA26" s="64">
        <f t="shared" ref="AA26:AA27" si="24">418.45/1000</f>
        <v>0.41844999999999999</v>
      </c>
      <c r="AB26" s="65">
        <f t="shared" si="11"/>
        <v>7.1136500000000005E-2</v>
      </c>
      <c r="AC26" s="65">
        <v>0</v>
      </c>
      <c r="AD26" s="65">
        <f t="shared" si="12"/>
        <v>125.1858465</v>
      </c>
      <c r="AE26" s="65">
        <f t="shared" si="13"/>
        <v>125.56024650000001</v>
      </c>
      <c r="AF26" s="65">
        <f t="shared" si="14"/>
        <v>127.75048650000002</v>
      </c>
      <c r="AG26" s="40"/>
      <c r="AH26" s="37">
        <f t="shared" si="15"/>
        <v>2.9660000000000002</v>
      </c>
      <c r="AI26" s="46">
        <f t="shared" si="16"/>
        <v>2.5646400000000256</v>
      </c>
      <c r="AJ26" s="47">
        <f t="shared" si="17"/>
        <v>0.55536000000000008</v>
      </c>
      <c r="AK26" s="47">
        <f t="shared" si="18"/>
        <v>127.75048650000002</v>
      </c>
      <c r="AL26" s="47">
        <f t="shared" si="19"/>
        <v>0</v>
      </c>
    </row>
    <row r="27" spans="1:38" s="22" customFormat="1" ht="15" customHeight="1" x14ac:dyDescent="0.2">
      <c r="A27" s="39">
        <f t="shared" si="20"/>
        <v>19</v>
      </c>
      <c r="B27" s="38"/>
      <c r="C27" s="38" t="s">
        <v>42</v>
      </c>
      <c r="D27" s="4" t="s">
        <v>43</v>
      </c>
      <c r="E27" s="12" t="s">
        <v>25</v>
      </c>
      <c r="F27" s="57">
        <v>83.65</v>
      </c>
      <c r="G27" s="57">
        <v>0.03</v>
      </c>
      <c r="H27" s="57">
        <f t="shared" si="0"/>
        <v>83.68</v>
      </c>
      <c r="I27" s="57">
        <v>1.1599999999999999</v>
      </c>
      <c r="J27" s="60">
        <f t="shared" si="1"/>
        <v>84.84</v>
      </c>
      <c r="K27" s="60">
        <v>2.81</v>
      </c>
      <c r="L27" s="57">
        <v>3.12</v>
      </c>
      <c r="M27" s="57">
        <f t="shared" si="2"/>
        <v>90.77000000000001</v>
      </c>
      <c r="N27" s="60">
        <v>18</v>
      </c>
      <c r="O27" s="60">
        <f t="shared" si="3"/>
        <v>108.77000000000001</v>
      </c>
      <c r="P27" s="57">
        <f t="shared" si="4"/>
        <v>18.490900000000003</v>
      </c>
      <c r="Q27" s="60">
        <f t="shared" si="5"/>
        <v>127.26090000000002</v>
      </c>
      <c r="R27" s="65">
        <f t="shared" si="6"/>
        <v>0.37440000000000001</v>
      </c>
      <c r="S27" s="65">
        <f t="shared" si="7"/>
        <v>0.74880000000000002</v>
      </c>
      <c r="T27" s="61">
        <f t="shared" si="23"/>
        <v>0.15600000000000003</v>
      </c>
      <c r="U27" s="61"/>
      <c r="V27" s="66"/>
      <c r="W27" s="61"/>
      <c r="X27" s="57">
        <f t="shared" si="8"/>
        <v>2.4960000000000006E-2</v>
      </c>
      <c r="Y27" s="65">
        <f t="shared" si="9"/>
        <v>124.69626000000001</v>
      </c>
      <c r="Z27" s="65">
        <f t="shared" si="10"/>
        <v>125.07066</v>
      </c>
      <c r="AA27" s="64">
        <f t="shared" si="24"/>
        <v>0.41844999999999999</v>
      </c>
      <c r="AB27" s="65">
        <f t="shared" si="11"/>
        <v>7.1136500000000005E-2</v>
      </c>
      <c r="AC27" s="65">
        <v>0</v>
      </c>
      <c r="AD27" s="65">
        <f t="shared" si="12"/>
        <v>125.1858465</v>
      </c>
      <c r="AE27" s="65">
        <f t="shared" si="13"/>
        <v>125.56024650000001</v>
      </c>
      <c r="AF27" s="65">
        <f t="shared" si="14"/>
        <v>127.75048650000002</v>
      </c>
      <c r="AG27" s="40"/>
      <c r="AH27" s="37">
        <f t="shared" si="15"/>
        <v>2.9660000000000002</v>
      </c>
      <c r="AI27" s="46">
        <f t="shared" si="16"/>
        <v>2.5646400000000256</v>
      </c>
      <c r="AJ27" s="47">
        <f t="shared" si="17"/>
        <v>0.55536000000000008</v>
      </c>
      <c r="AK27" s="47">
        <f t="shared" si="18"/>
        <v>127.75048650000002</v>
      </c>
      <c r="AL27" s="47">
        <f t="shared" si="19"/>
        <v>0</v>
      </c>
    </row>
    <row r="28" spans="1:38" s="22" customFormat="1" ht="15" customHeight="1" x14ac:dyDescent="0.2">
      <c r="A28" s="39">
        <f t="shared" si="20"/>
        <v>20</v>
      </c>
      <c r="B28" s="38" t="s">
        <v>113</v>
      </c>
      <c r="C28" s="38" t="str">
        <f>'PMG Master'!C28</f>
        <v>Rana Saleem Petroleum</v>
      </c>
      <c r="D28" s="4" t="s">
        <v>45</v>
      </c>
      <c r="E28" s="12" t="s">
        <v>16</v>
      </c>
      <c r="F28" s="57">
        <v>83.65</v>
      </c>
      <c r="G28" s="57">
        <v>0.03</v>
      </c>
      <c r="H28" s="57">
        <f t="shared" si="0"/>
        <v>83.68</v>
      </c>
      <c r="I28" s="57">
        <v>1.1599999999999999</v>
      </c>
      <c r="J28" s="60">
        <f t="shared" si="1"/>
        <v>84.84</v>
      </c>
      <c r="K28" s="60">
        <v>2.81</v>
      </c>
      <c r="L28" s="57">
        <v>3.12</v>
      </c>
      <c r="M28" s="57">
        <f t="shared" si="2"/>
        <v>90.77000000000001</v>
      </c>
      <c r="N28" s="60">
        <v>18</v>
      </c>
      <c r="O28" s="81">
        <f t="shared" si="3"/>
        <v>108.77000000000001</v>
      </c>
      <c r="P28" s="57">
        <f t="shared" si="4"/>
        <v>18.490900000000003</v>
      </c>
      <c r="Q28" s="60">
        <f t="shared" si="5"/>
        <v>127.26090000000002</v>
      </c>
      <c r="R28" s="65">
        <f t="shared" si="6"/>
        <v>0.37440000000000001</v>
      </c>
      <c r="S28" s="65">
        <f t="shared" si="7"/>
        <v>0.74880000000000002</v>
      </c>
      <c r="T28" s="61">
        <f t="shared" si="23"/>
        <v>0.15600000000000003</v>
      </c>
      <c r="U28" s="61"/>
      <c r="V28" s="66"/>
      <c r="W28" s="61"/>
      <c r="X28" s="57">
        <f t="shared" si="8"/>
        <v>2.4960000000000006E-2</v>
      </c>
      <c r="Y28" s="65">
        <f t="shared" si="9"/>
        <v>124.69626000000001</v>
      </c>
      <c r="Z28" s="65">
        <f t="shared" si="10"/>
        <v>125.07066</v>
      </c>
      <c r="AA28" s="64">
        <f>'PMG Master'!AA28</f>
        <v>0.41844999999999999</v>
      </c>
      <c r="AB28" s="65">
        <f t="shared" si="11"/>
        <v>7.1136500000000005E-2</v>
      </c>
      <c r="AC28" s="65">
        <v>0</v>
      </c>
      <c r="AD28" s="65">
        <f t="shared" si="12"/>
        <v>125.1858465</v>
      </c>
      <c r="AE28" s="65">
        <f t="shared" si="13"/>
        <v>125.56024650000001</v>
      </c>
      <c r="AF28" s="65">
        <f t="shared" si="14"/>
        <v>127.75048650000002</v>
      </c>
      <c r="AG28" s="40"/>
      <c r="AH28" s="37">
        <f t="shared" si="15"/>
        <v>2.9660000000000002</v>
      </c>
      <c r="AI28" s="46">
        <f t="shared" si="16"/>
        <v>2.5646400000000256</v>
      </c>
      <c r="AJ28" s="47">
        <f t="shared" si="17"/>
        <v>0.55536000000000008</v>
      </c>
      <c r="AK28" s="47">
        <f t="shared" si="18"/>
        <v>127.75048650000002</v>
      </c>
      <c r="AL28" s="47">
        <f t="shared" si="19"/>
        <v>0</v>
      </c>
    </row>
    <row r="29" spans="1:38" s="22" customFormat="1" ht="15" customHeight="1" x14ac:dyDescent="0.2">
      <c r="A29" s="39">
        <f t="shared" si="20"/>
        <v>21</v>
      </c>
      <c r="B29" s="38" t="s">
        <v>122</v>
      </c>
      <c r="C29" s="38" t="str">
        <f>'PMG Master'!C29</f>
        <v>Haryana Petroleum Service</v>
      </c>
      <c r="D29" s="4" t="s">
        <v>15</v>
      </c>
      <c r="E29" s="12" t="s">
        <v>16</v>
      </c>
      <c r="F29" s="57">
        <v>83.65</v>
      </c>
      <c r="G29" s="57">
        <v>0.03</v>
      </c>
      <c r="H29" s="57">
        <f t="shared" si="0"/>
        <v>83.68</v>
      </c>
      <c r="I29" s="57">
        <v>1.1599999999999999</v>
      </c>
      <c r="J29" s="60">
        <f t="shared" si="1"/>
        <v>84.84</v>
      </c>
      <c r="K29" s="60">
        <v>2.81</v>
      </c>
      <c r="L29" s="57">
        <v>3.12</v>
      </c>
      <c r="M29" s="57">
        <f t="shared" si="2"/>
        <v>90.77000000000001</v>
      </c>
      <c r="N29" s="60">
        <v>18</v>
      </c>
      <c r="O29" s="81">
        <f t="shared" si="3"/>
        <v>108.77000000000001</v>
      </c>
      <c r="P29" s="57">
        <f t="shared" si="4"/>
        <v>18.490900000000003</v>
      </c>
      <c r="Q29" s="60">
        <f t="shared" si="5"/>
        <v>127.26090000000002</v>
      </c>
      <c r="R29" s="65">
        <f t="shared" si="6"/>
        <v>0.37440000000000001</v>
      </c>
      <c r="S29" s="65">
        <f t="shared" si="7"/>
        <v>0.74880000000000002</v>
      </c>
      <c r="T29" s="61">
        <f t="shared" si="23"/>
        <v>0.15600000000000003</v>
      </c>
      <c r="U29" s="61"/>
      <c r="V29" s="66"/>
      <c r="W29" s="61"/>
      <c r="X29" s="57">
        <f t="shared" si="8"/>
        <v>2.4960000000000006E-2</v>
      </c>
      <c r="Y29" s="65">
        <f t="shared" si="9"/>
        <v>124.69626000000001</v>
      </c>
      <c r="Z29" s="65">
        <f t="shared" si="10"/>
        <v>125.07066</v>
      </c>
      <c r="AA29" s="64">
        <f>'PMG Master'!AA29</f>
        <v>0.53367540000000002</v>
      </c>
      <c r="AB29" s="65">
        <f t="shared" si="11"/>
        <v>9.0724818000000013E-2</v>
      </c>
      <c r="AC29" s="65">
        <v>0</v>
      </c>
      <c r="AD29" s="65">
        <f t="shared" si="12"/>
        <v>125.32066021800001</v>
      </c>
      <c r="AE29" s="65">
        <f t="shared" si="13"/>
        <v>125.69506021800001</v>
      </c>
      <c r="AF29" s="65">
        <f t="shared" si="14"/>
        <v>127.88530021800003</v>
      </c>
      <c r="AG29" s="40"/>
      <c r="AH29" s="37">
        <f t="shared" si="15"/>
        <v>2.9660000000000002</v>
      </c>
      <c r="AI29" s="46">
        <f t="shared" si="16"/>
        <v>2.5646400000000114</v>
      </c>
      <c r="AJ29" s="47">
        <f t="shared" si="17"/>
        <v>0.55536000000000008</v>
      </c>
      <c r="AK29" s="47">
        <f t="shared" si="18"/>
        <v>127.88530021800003</v>
      </c>
      <c r="AL29" s="47">
        <f t="shared" si="19"/>
        <v>0</v>
      </c>
    </row>
    <row r="30" spans="1:38" s="22" customFormat="1" ht="15" customHeight="1" x14ac:dyDescent="0.2">
      <c r="A30" s="39">
        <f t="shared" si="20"/>
        <v>22</v>
      </c>
      <c r="B30" s="38" t="s">
        <v>120</v>
      </c>
      <c r="C30" s="38" t="str">
        <f>'PMG Master'!C30</f>
        <v>Al-Subhan Petroleum</v>
      </c>
      <c r="D30" s="4" t="s">
        <v>15</v>
      </c>
      <c r="E30" s="12" t="s">
        <v>16</v>
      </c>
      <c r="F30" s="57">
        <v>83.65</v>
      </c>
      <c r="G30" s="57">
        <v>0.03</v>
      </c>
      <c r="H30" s="57">
        <f t="shared" si="0"/>
        <v>83.68</v>
      </c>
      <c r="I30" s="57">
        <v>1.1599999999999999</v>
      </c>
      <c r="J30" s="60">
        <f t="shared" si="1"/>
        <v>84.84</v>
      </c>
      <c r="K30" s="60">
        <v>2.81</v>
      </c>
      <c r="L30" s="57">
        <v>3.12</v>
      </c>
      <c r="M30" s="57">
        <f t="shared" si="2"/>
        <v>90.77000000000001</v>
      </c>
      <c r="N30" s="60">
        <v>18</v>
      </c>
      <c r="O30" s="81">
        <f t="shared" si="3"/>
        <v>108.77000000000001</v>
      </c>
      <c r="P30" s="57">
        <f t="shared" si="4"/>
        <v>18.490900000000003</v>
      </c>
      <c r="Q30" s="60">
        <f t="shared" si="5"/>
        <v>127.26090000000002</v>
      </c>
      <c r="R30" s="65">
        <f t="shared" si="6"/>
        <v>0.37440000000000001</v>
      </c>
      <c r="S30" s="65">
        <f t="shared" si="7"/>
        <v>0.74880000000000002</v>
      </c>
      <c r="T30" s="61">
        <f t="shared" si="23"/>
        <v>0.15600000000000003</v>
      </c>
      <c r="U30" s="61"/>
      <c r="V30" s="66"/>
      <c r="W30" s="61"/>
      <c r="X30" s="57">
        <f t="shared" si="8"/>
        <v>2.4960000000000006E-2</v>
      </c>
      <c r="Y30" s="65">
        <f t="shared" si="9"/>
        <v>124.69626000000001</v>
      </c>
      <c r="Z30" s="65">
        <f t="shared" si="10"/>
        <v>125.07066</v>
      </c>
      <c r="AA30" s="64">
        <f>'PMG Master'!AA30</f>
        <v>0.53367540000000002</v>
      </c>
      <c r="AB30" s="65">
        <f t="shared" si="11"/>
        <v>9.0724818000000013E-2</v>
      </c>
      <c r="AC30" s="65">
        <v>0</v>
      </c>
      <c r="AD30" s="65">
        <f t="shared" si="12"/>
        <v>125.32066021800001</v>
      </c>
      <c r="AE30" s="65">
        <f t="shared" si="13"/>
        <v>125.69506021800001</v>
      </c>
      <c r="AF30" s="65">
        <f t="shared" si="14"/>
        <v>127.88530021800003</v>
      </c>
      <c r="AG30" s="40"/>
      <c r="AH30" s="37">
        <f t="shared" si="15"/>
        <v>2.9660000000000002</v>
      </c>
      <c r="AI30" s="46">
        <f t="shared" si="16"/>
        <v>2.5646400000000114</v>
      </c>
      <c r="AJ30" s="47">
        <f t="shared" si="17"/>
        <v>0.55536000000000008</v>
      </c>
      <c r="AK30" s="47">
        <f t="shared" si="18"/>
        <v>127.88530021800003</v>
      </c>
      <c r="AL30" s="47">
        <f t="shared" si="19"/>
        <v>0</v>
      </c>
    </row>
    <row r="31" spans="1:38" s="22" customFormat="1" ht="15" customHeight="1" x14ac:dyDescent="0.2">
      <c r="A31" s="39">
        <f t="shared" si="20"/>
        <v>23</v>
      </c>
      <c r="B31" s="38"/>
      <c r="C31" s="38" t="s">
        <v>48</v>
      </c>
      <c r="D31" s="4"/>
      <c r="E31" s="12" t="s">
        <v>13</v>
      </c>
      <c r="F31" s="57">
        <v>83.65</v>
      </c>
      <c r="G31" s="57">
        <v>0.03</v>
      </c>
      <c r="H31" s="57">
        <f t="shared" si="0"/>
        <v>83.68</v>
      </c>
      <c r="I31" s="57">
        <v>1.1599999999999999</v>
      </c>
      <c r="J31" s="60">
        <f t="shared" si="1"/>
        <v>84.84</v>
      </c>
      <c r="K31" s="60">
        <v>2.81</v>
      </c>
      <c r="L31" s="57">
        <v>3.12</v>
      </c>
      <c r="M31" s="57">
        <f t="shared" si="2"/>
        <v>90.77000000000001</v>
      </c>
      <c r="N31" s="60">
        <v>18</v>
      </c>
      <c r="O31" s="60">
        <f t="shared" si="3"/>
        <v>108.77000000000001</v>
      </c>
      <c r="P31" s="57">
        <f t="shared" si="4"/>
        <v>18.490900000000003</v>
      </c>
      <c r="Q31" s="60">
        <f t="shared" si="5"/>
        <v>127.26090000000002</v>
      </c>
      <c r="R31" s="65">
        <f t="shared" si="6"/>
        <v>0.37440000000000001</v>
      </c>
      <c r="S31" s="65">
        <f t="shared" si="7"/>
        <v>0.74880000000000002</v>
      </c>
      <c r="T31" s="61">
        <f t="shared" si="23"/>
        <v>0.15600000000000003</v>
      </c>
      <c r="U31" s="61"/>
      <c r="V31" s="66"/>
      <c r="W31" s="61"/>
      <c r="X31" s="57">
        <f t="shared" si="8"/>
        <v>2.4960000000000006E-2</v>
      </c>
      <c r="Y31" s="65">
        <f t="shared" si="9"/>
        <v>124.69626000000001</v>
      </c>
      <c r="Z31" s="65">
        <f t="shared" si="10"/>
        <v>125.07066</v>
      </c>
      <c r="AA31" s="64">
        <f>350*3.0671/1000</f>
        <v>1.0734849999999998</v>
      </c>
      <c r="AB31" s="65">
        <f t="shared" si="11"/>
        <v>0.18249244999999997</v>
      </c>
      <c r="AC31" s="65">
        <v>0</v>
      </c>
      <c r="AD31" s="65">
        <f t="shared" si="12"/>
        <v>125.95223745000001</v>
      </c>
      <c r="AE31" s="65">
        <f t="shared" si="13"/>
        <v>126.32663745000001</v>
      </c>
      <c r="AF31" s="65">
        <f t="shared" si="14"/>
        <v>128.51687745000004</v>
      </c>
      <c r="AG31" s="40"/>
      <c r="AH31" s="37">
        <f t="shared" si="15"/>
        <v>2.9660000000000002</v>
      </c>
      <c r="AI31" s="46">
        <f t="shared" si="16"/>
        <v>2.5646400000000256</v>
      </c>
      <c r="AJ31" s="47">
        <f t="shared" si="17"/>
        <v>0.55536000000000008</v>
      </c>
      <c r="AK31" s="47">
        <f t="shared" si="18"/>
        <v>128.51687745000004</v>
      </c>
      <c r="AL31" s="47">
        <f t="shared" si="19"/>
        <v>0</v>
      </c>
    </row>
    <row r="32" spans="1:38" s="22" customFormat="1" ht="15" customHeight="1" x14ac:dyDescent="0.2">
      <c r="A32" s="39">
        <f t="shared" si="20"/>
        <v>24</v>
      </c>
      <c r="B32" s="38"/>
      <c r="C32" s="38" t="s">
        <v>49</v>
      </c>
      <c r="D32" s="4"/>
      <c r="E32" s="12" t="s">
        <v>21</v>
      </c>
      <c r="F32" s="57">
        <v>83.65</v>
      </c>
      <c r="G32" s="57">
        <v>0.03</v>
      </c>
      <c r="H32" s="57">
        <f t="shared" si="0"/>
        <v>83.68</v>
      </c>
      <c r="I32" s="57">
        <v>1.1599999999999999</v>
      </c>
      <c r="J32" s="60">
        <f t="shared" si="1"/>
        <v>84.84</v>
      </c>
      <c r="K32" s="60">
        <v>2.81</v>
      </c>
      <c r="L32" s="57">
        <v>3.12</v>
      </c>
      <c r="M32" s="57">
        <f t="shared" si="2"/>
        <v>90.77000000000001</v>
      </c>
      <c r="N32" s="60">
        <v>18</v>
      </c>
      <c r="O32" s="60">
        <f t="shared" si="3"/>
        <v>108.77000000000001</v>
      </c>
      <c r="P32" s="57">
        <f t="shared" si="4"/>
        <v>18.490900000000003</v>
      </c>
      <c r="Q32" s="60">
        <f t="shared" si="5"/>
        <v>127.26090000000002</v>
      </c>
      <c r="R32" s="65">
        <f t="shared" si="6"/>
        <v>0.37440000000000001</v>
      </c>
      <c r="S32" s="65">
        <f t="shared" si="7"/>
        <v>0.74880000000000002</v>
      </c>
      <c r="T32" s="61">
        <f>L32*0.07</f>
        <v>0.21840000000000004</v>
      </c>
      <c r="U32" s="61"/>
      <c r="V32" s="61">
        <v>0.03</v>
      </c>
      <c r="W32" s="61"/>
      <c r="X32" s="57">
        <f t="shared" si="8"/>
        <v>3.9744000000000008E-2</v>
      </c>
      <c r="Y32" s="65">
        <f t="shared" si="9"/>
        <v>124.80344400000001</v>
      </c>
      <c r="Z32" s="65">
        <f t="shared" si="10"/>
        <v>125.17784400000002</v>
      </c>
      <c r="AA32" s="64">
        <f>240*3.0671/1000</f>
        <v>0.73610400000000009</v>
      </c>
      <c r="AB32" s="65">
        <f t="shared" si="11"/>
        <v>0.12513768000000003</v>
      </c>
      <c r="AC32" s="65">
        <v>0</v>
      </c>
      <c r="AD32" s="65">
        <f t="shared" si="12"/>
        <v>125.66468568000001</v>
      </c>
      <c r="AE32" s="65">
        <f t="shared" si="13"/>
        <v>126.03908568000001</v>
      </c>
      <c r="AF32" s="65">
        <f t="shared" si="14"/>
        <v>128.12214168000003</v>
      </c>
      <c r="AG32" s="40"/>
      <c r="AH32" s="37">
        <f t="shared" si="15"/>
        <v>3.0583999999999998</v>
      </c>
      <c r="AI32" s="46">
        <f t="shared" si="16"/>
        <v>2.4574560000000218</v>
      </c>
      <c r="AJ32" s="47">
        <f t="shared" si="17"/>
        <v>0.66254400000000002</v>
      </c>
      <c r="AK32" s="47">
        <f t="shared" si="18"/>
        <v>128.12214168000003</v>
      </c>
      <c r="AL32" s="47">
        <f t="shared" si="19"/>
        <v>0</v>
      </c>
    </row>
    <row r="33" spans="1:38" s="22" customFormat="1" ht="15" customHeight="1" x14ac:dyDescent="0.2">
      <c r="A33" s="39">
        <f t="shared" si="20"/>
        <v>25</v>
      </c>
      <c r="B33" s="38" t="s">
        <v>118</v>
      </c>
      <c r="C33" s="38" t="str">
        <f>'PMG Master'!C33</f>
        <v>Warraich Petroleum</v>
      </c>
      <c r="D33" s="4" t="s">
        <v>51</v>
      </c>
      <c r="E33" s="12" t="s">
        <v>13</v>
      </c>
      <c r="F33" s="57">
        <v>83.65</v>
      </c>
      <c r="G33" s="57">
        <v>0.03</v>
      </c>
      <c r="H33" s="57">
        <f t="shared" si="0"/>
        <v>83.68</v>
      </c>
      <c r="I33" s="57">
        <v>1.1599999999999999</v>
      </c>
      <c r="J33" s="60">
        <f t="shared" si="1"/>
        <v>84.84</v>
      </c>
      <c r="K33" s="60">
        <v>2.81</v>
      </c>
      <c r="L33" s="57">
        <v>3.12</v>
      </c>
      <c r="M33" s="57">
        <f t="shared" si="2"/>
        <v>90.77000000000001</v>
      </c>
      <c r="N33" s="60">
        <v>18</v>
      </c>
      <c r="O33" s="81">
        <f t="shared" si="3"/>
        <v>108.77000000000001</v>
      </c>
      <c r="P33" s="57">
        <f t="shared" si="4"/>
        <v>18.490900000000003</v>
      </c>
      <c r="Q33" s="60">
        <f t="shared" si="5"/>
        <v>127.26090000000002</v>
      </c>
      <c r="R33" s="65">
        <f t="shared" si="6"/>
        <v>0.37440000000000001</v>
      </c>
      <c r="S33" s="65">
        <f t="shared" si="7"/>
        <v>0.74880000000000002</v>
      </c>
      <c r="T33" s="61">
        <f t="shared" ref="T33:T51" si="25">L33*0.05</f>
        <v>0.15600000000000003</v>
      </c>
      <c r="U33" s="61"/>
      <c r="V33" s="66"/>
      <c r="W33" s="61"/>
      <c r="X33" s="57">
        <f t="shared" si="8"/>
        <v>2.4960000000000006E-2</v>
      </c>
      <c r="Y33" s="65">
        <f t="shared" si="9"/>
        <v>124.69626000000001</v>
      </c>
      <c r="Z33" s="65">
        <f t="shared" si="10"/>
        <v>125.07066</v>
      </c>
      <c r="AA33" s="64">
        <f>'PMG Master'!AA33</f>
        <v>0.41844999999999999</v>
      </c>
      <c r="AB33" s="65">
        <f t="shared" si="11"/>
        <v>7.1136500000000005E-2</v>
      </c>
      <c r="AC33" s="65">
        <v>0</v>
      </c>
      <c r="AD33" s="65">
        <f t="shared" si="12"/>
        <v>125.1858465</v>
      </c>
      <c r="AE33" s="65">
        <f t="shared" si="13"/>
        <v>125.56024650000001</v>
      </c>
      <c r="AF33" s="65">
        <f t="shared" si="14"/>
        <v>127.75048650000002</v>
      </c>
      <c r="AG33" s="40"/>
      <c r="AH33" s="37">
        <f t="shared" si="15"/>
        <v>2.9660000000000002</v>
      </c>
      <c r="AI33" s="46">
        <f t="shared" si="16"/>
        <v>2.5646400000000256</v>
      </c>
      <c r="AJ33" s="47">
        <f t="shared" si="17"/>
        <v>0.55536000000000008</v>
      </c>
      <c r="AK33" s="47">
        <f t="shared" si="18"/>
        <v>127.75048650000002</v>
      </c>
      <c r="AL33" s="47">
        <f t="shared" si="19"/>
        <v>0</v>
      </c>
    </row>
    <row r="34" spans="1:38" s="22" customFormat="1" ht="15" customHeight="1" x14ac:dyDescent="0.2">
      <c r="A34" s="39">
        <f t="shared" si="20"/>
        <v>26</v>
      </c>
      <c r="B34" s="38"/>
      <c r="C34" s="38" t="s">
        <v>52</v>
      </c>
      <c r="D34" s="4" t="s">
        <v>53</v>
      </c>
      <c r="E34" s="12" t="s">
        <v>13</v>
      </c>
      <c r="F34" s="57">
        <v>83.65</v>
      </c>
      <c r="G34" s="57">
        <v>0.03</v>
      </c>
      <c r="H34" s="57">
        <f t="shared" si="0"/>
        <v>83.68</v>
      </c>
      <c r="I34" s="57">
        <v>1.1599999999999999</v>
      </c>
      <c r="J34" s="60">
        <f t="shared" si="1"/>
        <v>84.84</v>
      </c>
      <c r="K34" s="60">
        <v>2.81</v>
      </c>
      <c r="L34" s="57">
        <v>3.12</v>
      </c>
      <c r="M34" s="57">
        <f t="shared" si="2"/>
        <v>90.77000000000001</v>
      </c>
      <c r="N34" s="60">
        <v>18</v>
      </c>
      <c r="O34" s="60">
        <f t="shared" si="3"/>
        <v>108.77000000000001</v>
      </c>
      <c r="P34" s="57">
        <f t="shared" si="4"/>
        <v>18.490900000000003</v>
      </c>
      <c r="Q34" s="60">
        <f t="shared" si="5"/>
        <v>127.26090000000002</v>
      </c>
      <c r="R34" s="65">
        <f t="shared" si="6"/>
        <v>0.37440000000000001</v>
      </c>
      <c r="S34" s="65">
        <f t="shared" si="7"/>
        <v>0.74880000000000002</v>
      </c>
      <c r="T34" s="61">
        <f t="shared" si="25"/>
        <v>0.15600000000000003</v>
      </c>
      <c r="U34" s="61"/>
      <c r="V34" s="66"/>
      <c r="W34" s="61"/>
      <c r="X34" s="57">
        <f t="shared" si="8"/>
        <v>2.4960000000000006E-2</v>
      </c>
      <c r="Y34" s="65">
        <f t="shared" si="9"/>
        <v>124.69626000000001</v>
      </c>
      <c r="Z34" s="65">
        <f t="shared" si="10"/>
        <v>125.07066</v>
      </c>
      <c r="AA34" s="64">
        <f>3.0671/1000*310</f>
        <v>0.95080100000000001</v>
      </c>
      <c r="AB34" s="65">
        <f t="shared" si="11"/>
        <v>0.16163617000000002</v>
      </c>
      <c r="AC34" s="65">
        <v>0</v>
      </c>
      <c r="AD34" s="65">
        <f t="shared" si="12"/>
        <v>125.80869717</v>
      </c>
      <c r="AE34" s="65">
        <f t="shared" si="13"/>
        <v>126.18309717</v>
      </c>
      <c r="AF34" s="65">
        <f t="shared" si="14"/>
        <v>128.37333717000004</v>
      </c>
      <c r="AG34" s="40"/>
      <c r="AH34" s="37">
        <f t="shared" si="15"/>
        <v>2.9660000000000002</v>
      </c>
      <c r="AI34" s="46">
        <f t="shared" si="16"/>
        <v>2.5646400000000398</v>
      </c>
      <c r="AJ34" s="47">
        <f t="shared" si="17"/>
        <v>0.55536000000000008</v>
      </c>
      <c r="AK34" s="47">
        <f t="shared" si="18"/>
        <v>128.37333717000004</v>
      </c>
      <c r="AL34" s="47">
        <f t="shared" si="19"/>
        <v>0</v>
      </c>
    </row>
    <row r="35" spans="1:38" s="22" customFormat="1" ht="15" customHeight="1" x14ac:dyDescent="0.2">
      <c r="A35" s="39">
        <f t="shared" si="20"/>
        <v>27</v>
      </c>
      <c r="B35" s="38"/>
      <c r="C35" s="38" t="s">
        <v>54</v>
      </c>
      <c r="D35" s="4" t="s">
        <v>53</v>
      </c>
      <c r="E35" s="12" t="s">
        <v>16</v>
      </c>
      <c r="F35" s="57">
        <v>83.65</v>
      </c>
      <c r="G35" s="57">
        <v>0.03</v>
      </c>
      <c r="H35" s="57">
        <f t="shared" si="0"/>
        <v>83.68</v>
      </c>
      <c r="I35" s="57">
        <v>1.1599999999999999</v>
      </c>
      <c r="J35" s="60">
        <f t="shared" si="1"/>
        <v>84.84</v>
      </c>
      <c r="K35" s="60">
        <v>2.81</v>
      </c>
      <c r="L35" s="57">
        <v>3.12</v>
      </c>
      <c r="M35" s="57">
        <f t="shared" si="2"/>
        <v>90.77000000000001</v>
      </c>
      <c r="N35" s="60">
        <v>18</v>
      </c>
      <c r="O35" s="60">
        <f t="shared" si="3"/>
        <v>108.77000000000001</v>
      </c>
      <c r="P35" s="57">
        <f t="shared" si="4"/>
        <v>18.490900000000003</v>
      </c>
      <c r="Q35" s="60">
        <f t="shared" si="5"/>
        <v>127.26090000000002</v>
      </c>
      <c r="R35" s="65">
        <f t="shared" si="6"/>
        <v>0.37440000000000001</v>
      </c>
      <c r="S35" s="65">
        <f t="shared" si="7"/>
        <v>0.74880000000000002</v>
      </c>
      <c r="T35" s="61">
        <f t="shared" si="25"/>
        <v>0.15600000000000003</v>
      </c>
      <c r="U35" s="61"/>
      <c r="V35" s="66"/>
      <c r="W35" s="61"/>
      <c r="X35" s="57">
        <f t="shared" si="8"/>
        <v>2.4960000000000006E-2</v>
      </c>
      <c r="Y35" s="65">
        <f t="shared" si="9"/>
        <v>124.69626000000001</v>
      </c>
      <c r="Z35" s="65">
        <f t="shared" si="10"/>
        <v>125.07066</v>
      </c>
      <c r="AA35" s="64">
        <f>3.0671/1000*300</f>
        <v>0.92013</v>
      </c>
      <c r="AB35" s="65">
        <f t="shared" si="11"/>
        <v>0.15642210000000001</v>
      </c>
      <c r="AC35" s="65">
        <v>0</v>
      </c>
      <c r="AD35" s="65">
        <f t="shared" si="12"/>
        <v>125.77281210000001</v>
      </c>
      <c r="AE35" s="65">
        <f t="shared" si="13"/>
        <v>126.1472121</v>
      </c>
      <c r="AF35" s="65">
        <f t="shared" si="14"/>
        <v>128.33745210000001</v>
      </c>
      <c r="AG35" s="40"/>
      <c r="AH35" s="37">
        <f t="shared" si="15"/>
        <v>2.9660000000000002</v>
      </c>
      <c r="AI35" s="46">
        <f t="shared" si="16"/>
        <v>2.5646399999999971</v>
      </c>
      <c r="AJ35" s="47">
        <f t="shared" si="17"/>
        <v>0.55536000000000008</v>
      </c>
      <c r="AK35" s="47">
        <f t="shared" si="18"/>
        <v>128.33745210000001</v>
      </c>
      <c r="AL35" s="47">
        <f t="shared" si="19"/>
        <v>0</v>
      </c>
    </row>
    <row r="36" spans="1:38" s="22" customFormat="1" ht="15" customHeight="1" x14ac:dyDescent="0.2">
      <c r="A36" s="39">
        <f t="shared" si="20"/>
        <v>28</v>
      </c>
      <c r="B36" s="38" t="str">
        <f>'PMG Master'!B36</f>
        <v>R-00021</v>
      </c>
      <c r="C36" s="80" t="str">
        <f>'PMG Master'!C36</f>
        <v>Chauhdary Tayyab F/S</v>
      </c>
      <c r="D36" s="4" t="str">
        <f>'PMG Master'!D36</f>
        <v>Kharia-Gujrat</v>
      </c>
      <c r="E36" s="12" t="str">
        <f>'PMG Master'!E36</f>
        <v>DF</v>
      </c>
      <c r="F36" s="57">
        <v>83.65</v>
      </c>
      <c r="G36" s="57">
        <v>0.03</v>
      </c>
      <c r="H36" s="57">
        <f t="shared" si="0"/>
        <v>83.68</v>
      </c>
      <c r="I36" s="57">
        <v>1.1599999999999999</v>
      </c>
      <c r="J36" s="60">
        <f t="shared" si="1"/>
        <v>84.84</v>
      </c>
      <c r="K36" s="60">
        <v>2.81</v>
      </c>
      <c r="L36" s="57">
        <v>3.12</v>
      </c>
      <c r="M36" s="57">
        <f t="shared" si="2"/>
        <v>90.77000000000001</v>
      </c>
      <c r="N36" s="60">
        <v>18</v>
      </c>
      <c r="O36" s="81">
        <f t="shared" si="3"/>
        <v>108.77000000000001</v>
      </c>
      <c r="P36" s="57">
        <f t="shared" si="4"/>
        <v>18.490900000000003</v>
      </c>
      <c r="Q36" s="60">
        <f t="shared" si="5"/>
        <v>127.26090000000002</v>
      </c>
      <c r="R36" s="65">
        <f t="shared" si="6"/>
        <v>0.37440000000000001</v>
      </c>
      <c r="S36" s="65">
        <f t="shared" si="7"/>
        <v>0.74880000000000002</v>
      </c>
      <c r="T36" s="61">
        <f t="shared" si="25"/>
        <v>0.15600000000000003</v>
      </c>
      <c r="U36" s="61"/>
      <c r="V36" s="66"/>
      <c r="W36" s="61"/>
      <c r="X36" s="57">
        <f t="shared" si="8"/>
        <v>2.4960000000000006E-2</v>
      </c>
      <c r="Y36" s="65">
        <f t="shared" si="9"/>
        <v>124.69626000000001</v>
      </c>
      <c r="Z36" s="65">
        <f t="shared" si="10"/>
        <v>125.07066</v>
      </c>
      <c r="AA36" s="64">
        <f>'PMG Master'!AA36</f>
        <v>0.41844999999999999</v>
      </c>
      <c r="AB36" s="65">
        <f t="shared" si="11"/>
        <v>7.1136500000000005E-2</v>
      </c>
      <c r="AC36" s="65">
        <v>0</v>
      </c>
      <c r="AD36" s="65">
        <f t="shared" si="12"/>
        <v>125.1858465</v>
      </c>
      <c r="AE36" s="65">
        <f t="shared" si="13"/>
        <v>125.56024650000001</v>
      </c>
      <c r="AF36" s="65">
        <f t="shared" si="14"/>
        <v>127.75048650000002</v>
      </c>
      <c r="AG36" s="40"/>
      <c r="AH36" s="37">
        <f t="shared" si="15"/>
        <v>2.9660000000000002</v>
      </c>
      <c r="AI36" s="46">
        <f t="shared" si="16"/>
        <v>2.5646400000000256</v>
      </c>
      <c r="AJ36" s="47">
        <f t="shared" si="17"/>
        <v>0.55536000000000008</v>
      </c>
      <c r="AK36" s="47">
        <f t="shared" si="18"/>
        <v>127.75048650000002</v>
      </c>
      <c r="AL36" s="47">
        <f t="shared" si="19"/>
        <v>0</v>
      </c>
    </row>
    <row r="37" spans="1:38" s="22" customFormat="1" ht="15" customHeight="1" x14ac:dyDescent="0.2">
      <c r="A37" s="39">
        <f t="shared" si="20"/>
        <v>29</v>
      </c>
      <c r="B37" s="38"/>
      <c r="C37" s="38" t="s">
        <v>57</v>
      </c>
      <c r="D37" s="4" t="s">
        <v>58</v>
      </c>
      <c r="E37" s="12" t="s">
        <v>16</v>
      </c>
      <c r="F37" s="57">
        <v>83.65</v>
      </c>
      <c r="G37" s="57">
        <v>0.03</v>
      </c>
      <c r="H37" s="57">
        <f t="shared" si="0"/>
        <v>83.68</v>
      </c>
      <c r="I37" s="57">
        <v>1.1599999999999999</v>
      </c>
      <c r="J37" s="60">
        <f t="shared" si="1"/>
        <v>84.84</v>
      </c>
      <c r="K37" s="60">
        <v>2.81</v>
      </c>
      <c r="L37" s="57">
        <v>3.12</v>
      </c>
      <c r="M37" s="57">
        <f t="shared" si="2"/>
        <v>90.77000000000001</v>
      </c>
      <c r="N37" s="60">
        <v>18</v>
      </c>
      <c r="O37" s="60">
        <f t="shared" si="3"/>
        <v>108.77000000000001</v>
      </c>
      <c r="P37" s="57">
        <f t="shared" si="4"/>
        <v>18.490900000000003</v>
      </c>
      <c r="Q37" s="60">
        <f t="shared" si="5"/>
        <v>127.26090000000002</v>
      </c>
      <c r="R37" s="65">
        <f t="shared" si="6"/>
        <v>0.37440000000000001</v>
      </c>
      <c r="S37" s="65">
        <f t="shared" si="7"/>
        <v>0.74880000000000002</v>
      </c>
      <c r="T37" s="61">
        <f t="shared" si="25"/>
        <v>0.15600000000000003</v>
      </c>
      <c r="U37" s="61"/>
      <c r="V37" s="66"/>
      <c r="W37" s="61"/>
      <c r="X37" s="57">
        <f t="shared" si="8"/>
        <v>2.4960000000000006E-2</v>
      </c>
      <c r="Y37" s="65">
        <f t="shared" si="9"/>
        <v>124.69626000000001</v>
      </c>
      <c r="Z37" s="65">
        <f t="shared" si="10"/>
        <v>125.07066</v>
      </c>
      <c r="AA37" s="64">
        <f>418.45/1000</f>
        <v>0.41844999999999999</v>
      </c>
      <c r="AB37" s="65">
        <f t="shared" si="11"/>
        <v>7.1136500000000005E-2</v>
      </c>
      <c r="AC37" s="65">
        <v>0</v>
      </c>
      <c r="AD37" s="65">
        <f t="shared" si="12"/>
        <v>125.1858465</v>
      </c>
      <c r="AE37" s="65">
        <f t="shared" si="13"/>
        <v>125.56024650000001</v>
      </c>
      <c r="AF37" s="65">
        <f t="shared" si="14"/>
        <v>127.75048650000002</v>
      </c>
      <c r="AG37" s="40"/>
      <c r="AH37" s="37">
        <f t="shared" si="15"/>
        <v>2.9660000000000002</v>
      </c>
      <c r="AI37" s="46">
        <f t="shared" si="16"/>
        <v>2.5646400000000256</v>
      </c>
      <c r="AJ37" s="47">
        <f t="shared" si="17"/>
        <v>0.55536000000000008</v>
      </c>
      <c r="AK37" s="47">
        <f t="shared" si="18"/>
        <v>127.75048650000002</v>
      </c>
      <c r="AL37" s="47">
        <f t="shared" si="19"/>
        <v>0</v>
      </c>
    </row>
    <row r="38" spans="1:38" s="22" customFormat="1" ht="15" customHeight="1" x14ac:dyDescent="0.2">
      <c r="A38" s="39">
        <f t="shared" si="20"/>
        <v>30</v>
      </c>
      <c r="B38" s="38"/>
      <c r="C38" s="38" t="s">
        <v>59</v>
      </c>
      <c r="D38" s="4" t="s">
        <v>60</v>
      </c>
      <c r="E38" s="12" t="s">
        <v>13</v>
      </c>
      <c r="F38" s="57">
        <v>83.65</v>
      </c>
      <c r="G38" s="57">
        <v>0.03</v>
      </c>
      <c r="H38" s="57">
        <f t="shared" si="0"/>
        <v>83.68</v>
      </c>
      <c r="I38" s="57">
        <v>1.1599999999999999</v>
      </c>
      <c r="J38" s="60">
        <f t="shared" si="1"/>
        <v>84.84</v>
      </c>
      <c r="K38" s="60">
        <v>2.81</v>
      </c>
      <c r="L38" s="57">
        <v>3.12</v>
      </c>
      <c r="M38" s="57">
        <f t="shared" si="2"/>
        <v>90.77000000000001</v>
      </c>
      <c r="N38" s="60">
        <v>18</v>
      </c>
      <c r="O38" s="60">
        <f t="shared" si="3"/>
        <v>108.77000000000001</v>
      </c>
      <c r="P38" s="57">
        <f t="shared" si="4"/>
        <v>18.490900000000003</v>
      </c>
      <c r="Q38" s="60">
        <f t="shared" si="5"/>
        <v>127.26090000000002</v>
      </c>
      <c r="R38" s="65">
        <f t="shared" si="6"/>
        <v>0.37440000000000001</v>
      </c>
      <c r="S38" s="65">
        <f t="shared" si="7"/>
        <v>0.74880000000000002</v>
      </c>
      <c r="T38" s="61">
        <f t="shared" si="25"/>
        <v>0.15600000000000003</v>
      </c>
      <c r="U38" s="61"/>
      <c r="V38" s="66"/>
      <c r="W38" s="61"/>
      <c r="X38" s="57">
        <f t="shared" si="8"/>
        <v>2.4960000000000006E-2</v>
      </c>
      <c r="Y38" s="65">
        <f t="shared" si="9"/>
        <v>124.69626000000001</v>
      </c>
      <c r="Z38" s="65">
        <f t="shared" si="10"/>
        <v>125.07066</v>
      </c>
      <c r="AA38" s="64">
        <f>418.45/1000</f>
        <v>0.41844999999999999</v>
      </c>
      <c r="AB38" s="65">
        <f t="shared" si="11"/>
        <v>7.1136500000000005E-2</v>
      </c>
      <c r="AC38" s="65">
        <v>0</v>
      </c>
      <c r="AD38" s="65">
        <f t="shared" si="12"/>
        <v>125.1858465</v>
      </c>
      <c r="AE38" s="65">
        <f t="shared" si="13"/>
        <v>125.56024650000001</v>
      </c>
      <c r="AF38" s="65">
        <f t="shared" si="14"/>
        <v>127.75048650000002</v>
      </c>
      <c r="AG38" s="40"/>
      <c r="AH38" s="37">
        <f t="shared" si="15"/>
        <v>2.9660000000000002</v>
      </c>
      <c r="AI38" s="46">
        <f t="shared" si="16"/>
        <v>2.5646400000000256</v>
      </c>
      <c r="AJ38" s="47">
        <f t="shared" si="17"/>
        <v>0.55536000000000008</v>
      </c>
      <c r="AK38" s="47">
        <f t="shared" si="18"/>
        <v>127.75048650000002</v>
      </c>
      <c r="AL38" s="47">
        <f t="shared" si="19"/>
        <v>0</v>
      </c>
    </row>
    <row r="39" spans="1:38" s="22" customFormat="1" ht="15" customHeight="1" x14ac:dyDescent="0.2">
      <c r="A39" s="39">
        <f t="shared" si="20"/>
        <v>31</v>
      </c>
      <c r="B39" s="38" t="s">
        <v>117</v>
      </c>
      <c r="C39" s="38" t="str">
        <f>'PMG Master'!C39</f>
        <v>Jutt Petroleum</v>
      </c>
      <c r="D39" s="4" t="s">
        <v>62</v>
      </c>
      <c r="E39" s="12" t="s">
        <v>13</v>
      </c>
      <c r="F39" s="57">
        <v>83.65</v>
      </c>
      <c r="G39" s="57">
        <v>0.03</v>
      </c>
      <c r="H39" s="57">
        <f t="shared" si="0"/>
        <v>83.68</v>
      </c>
      <c r="I39" s="57">
        <v>1.1599999999999999</v>
      </c>
      <c r="J39" s="60">
        <f t="shared" si="1"/>
        <v>84.84</v>
      </c>
      <c r="K39" s="60">
        <v>2.81</v>
      </c>
      <c r="L39" s="57">
        <v>3.12</v>
      </c>
      <c r="M39" s="57">
        <f t="shared" si="2"/>
        <v>90.77000000000001</v>
      </c>
      <c r="N39" s="60">
        <v>18</v>
      </c>
      <c r="O39" s="81">
        <f t="shared" si="3"/>
        <v>108.77000000000001</v>
      </c>
      <c r="P39" s="57">
        <f t="shared" si="4"/>
        <v>18.490900000000003</v>
      </c>
      <c r="Q39" s="60">
        <f t="shared" si="5"/>
        <v>127.26090000000002</v>
      </c>
      <c r="R39" s="65">
        <f t="shared" si="6"/>
        <v>0.37440000000000001</v>
      </c>
      <c r="S39" s="65">
        <f t="shared" si="7"/>
        <v>0.74880000000000002</v>
      </c>
      <c r="T39" s="61">
        <f t="shared" si="25"/>
        <v>0.15600000000000003</v>
      </c>
      <c r="U39" s="61"/>
      <c r="V39" s="66"/>
      <c r="W39" s="61"/>
      <c r="X39" s="57">
        <f t="shared" si="8"/>
        <v>2.4960000000000006E-2</v>
      </c>
      <c r="Y39" s="65">
        <f t="shared" si="9"/>
        <v>124.69626000000001</v>
      </c>
      <c r="Z39" s="65">
        <f t="shared" si="10"/>
        <v>125.07066</v>
      </c>
      <c r="AA39" s="64">
        <f>'PMG Master'!AA39</f>
        <v>0.71156720000000007</v>
      </c>
      <c r="AB39" s="65">
        <f t="shared" si="11"/>
        <v>0.12096642400000002</v>
      </c>
      <c r="AC39" s="65">
        <v>0</v>
      </c>
      <c r="AD39" s="65">
        <f t="shared" si="12"/>
        <v>125.52879362400002</v>
      </c>
      <c r="AE39" s="65">
        <f t="shared" si="13"/>
        <v>125.90319362400001</v>
      </c>
      <c r="AF39" s="65">
        <f t="shared" si="14"/>
        <v>128.09343362400003</v>
      </c>
      <c r="AG39" s="40"/>
      <c r="AH39" s="37">
        <f t="shared" si="15"/>
        <v>2.9660000000000002</v>
      </c>
      <c r="AI39" s="46">
        <f t="shared" si="16"/>
        <v>2.5646400000000114</v>
      </c>
      <c r="AJ39" s="47">
        <f t="shared" si="17"/>
        <v>0.55536000000000008</v>
      </c>
      <c r="AK39" s="47">
        <f t="shared" si="18"/>
        <v>128.09343362400003</v>
      </c>
      <c r="AL39" s="47">
        <f t="shared" si="19"/>
        <v>0</v>
      </c>
    </row>
    <row r="40" spans="1:38" s="22" customFormat="1" ht="15" customHeight="1" x14ac:dyDescent="0.2">
      <c r="A40" s="39">
        <f t="shared" si="20"/>
        <v>32</v>
      </c>
      <c r="B40" s="39"/>
      <c r="C40" s="4" t="s">
        <v>63</v>
      </c>
      <c r="D40" s="4"/>
      <c r="E40" s="12" t="s">
        <v>16</v>
      </c>
      <c r="F40" s="57">
        <v>83.65</v>
      </c>
      <c r="G40" s="57">
        <v>0.03</v>
      </c>
      <c r="H40" s="57">
        <f t="shared" si="0"/>
        <v>83.68</v>
      </c>
      <c r="I40" s="57">
        <v>1.1599999999999999</v>
      </c>
      <c r="J40" s="60">
        <f t="shared" si="1"/>
        <v>84.84</v>
      </c>
      <c r="K40" s="60">
        <v>2.81</v>
      </c>
      <c r="L40" s="57">
        <v>3.12</v>
      </c>
      <c r="M40" s="57">
        <f t="shared" si="2"/>
        <v>90.77000000000001</v>
      </c>
      <c r="N40" s="60">
        <v>18</v>
      </c>
      <c r="O40" s="60">
        <f t="shared" si="3"/>
        <v>108.77000000000001</v>
      </c>
      <c r="P40" s="57">
        <f t="shared" si="4"/>
        <v>18.490900000000003</v>
      </c>
      <c r="Q40" s="60">
        <f t="shared" si="5"/>
        <v>127.26090000000002</v>
      </c>
      <c r="R40" s="65">
        <f t="shared" si="6"/>
        <v>0.37440000000000001</v>
      </c>
      <c r="S40" s="65">
        <f t="shared" si="7"/>
        <v>0.74880000000000002</v>
      </c>
      <c r="T40" s="61">
        <f t="shared" si="25"/>
        <v>0.15600000000000003</v>
      </c>
      <c r="U40" s="61"/>
      <c r="V40" s="66"/>
      <c r="W40" s="61"/>
      <c r="X40" s="57">
        <f t="shared" si="8"/>
        <v>2.4960000000000006E-2</v>
      </c>
      <c r="Y40" s="65">
        <f t="shared" si="9"/>
        <v>124.69626000000001</v>
      </c>
      <c r="Z40" s="65">
        <f t="shared" si="10"/>
        <v>125.07066</v>
      </c>
      <c r="AA40" s="64">
        <f t="shared" ref="AA40:AA42" si="26">418.45/1000</f>
        <v>0.41844999999999999</v>
      </c>
      <c r="AB40" s="65">
        <f t="shared" si="11"/>
        <v>7.1136500000000005E-2</v>
      </c>
      <c r="AC40" s="65">
        <v>0</v>
      </c>
      <c r="AD40" s="65">
        <f t="shared" si="12"/>
        <v>125.1858465</v>
      </c>
      <c r="AE40" s="65">
        <f t="shared" si="13"/>
        <v>125.56024650000001</v>
      </c>
      <c r="AF40" s="65">
        <f t="shared" si="14"/>
        <v>127.75048650000002</v>
      </c>
      <c r="AG40" s="40"/>
      <c r="AH40" s="37">
        <f t="shared" si="15"/>
        <v>2.9660000000000002</v>
      </c>
      <c r="AI40" s="46">
        <f t="shared" si="16"/>
        <v>2.5646400000000256</v>
      </c>
      <c r="AJ40" s="47">
        <f t="shared" si="17"/>
        <v>0.55536000000000008</v>
      </c>
      <c r="AK40" s="47">
        <f t="shared" si="18"/>
        <v>127.75048650000002</v>
      </c>
      <c r="AL40" s="47">
        <f t="shared" si="19"/>
        <v>0</v>
      </c>
    </row>
    <row r="41" spans="1:38" s="22" customFormat="1" ht="15" customHeight="1" x14ac:dyDescent="0.2">
      <c r="A41" s="39">
        <f t="shared" si="20"/>
        <v>33</v>
      </c>
      <c r="B41" s="39"/>
      <c r="C41" s="4" t="s">
        <v>64</v>
      </c>
      <c r="D41" s="4" t="s">
        <v>31</v>
      </c>
      <c r="E41" s="12" t="s">
        <v>13</v>
      </c>
      <c r="F41" s="57">
        <v>83.65</v>
      </c>
      <c r="G41" s="57">
        <v>0.03</v>
      </c>
      <c r="H41" s="57">
        <f t="shared" si="0"/>
        <v>83.68</v>
      </c>
      <c r="I41" s="57">
        <v>1.1599999999999999</v>
      </c>
      <c r="J41" s="60">
        <f t="shared" si="1"/>
        <v>84.84</v>
      </c>
      <c r="K41" s="60">
        <v>2.81</v>
      </c>
      <c r="L41" s="57">
        <v>3.12</v>
      </c>
      <c r="M41" s="57">
        <f t="shared" si="2"/>
        <v>90.77000000000001</v>
      </c>
      <c r="N41" s="60">
        <v>18</v>
      </c>
      <c r="O41" s="60">
        <f t="shared" si="3"/>
        <v>108.77000000000001</v>
      </c>
      <c r="P41" s="57">
        <f t="shared" si="4"/>
        <v>18.490900000000003</v>
      </c>
      <c r="Q41" s="60">
        <f t="shared" si="5"/>
        <v>127.26090000000002</v>
      </c>
      <c r="R41" s="65">
        <f t="shared" si="6"/>
        <v>0.37440000000000001</v>
      </c>
      <c r="S41" s="65">
        <f t="shared" si="7"/>
        <v>0.74880000000000002</v>
      </c>
      <c r="T41" s="61">
        <f t="shared" si="25"/>
        <v>0.15600000000000003</v>
      </c>
      <c r="U41" s="61"/>
      <c r="V41" s="66"/>
      <c r="W41" s="61"/>
      <c r="X41" s="57">
        <f t="shared" si="8"/>
        <v>2.4960000000000006E-2</v>
      </c>
      <c r="Y41" s="65">
        <f t="shared" si="9"/>
        <v>124.69626000000001</v>
      </c>
      <c r="Z41" s="65">
        <f t="shared" si="10"/>
        <v>125.07066</v>
      </c>
      <c r="AA41" s="64">
        <f t="shared" si="26"/>
        <v>0.41844999999999999</v>
      </c>
      <c r="AB41" s="65">
        <f t="shared" si="11"/>
        <v>7.1136500000000005E-2</v>
      </c>
      <c r="AC41" s="65">
        <v>0</v>
      </c>
      <c r="AD41" s="65">
        <f t="shared" si="12"/>
        <v>125.1858465</v>
      </c>
      <c r="AE41" s="65">
        <f t="shared" si="13"/>
        <v>125.56024650000001</v>
      </c>
      <c r="AF41" s="65">
        <f t="shared" si="14"/>
        <v>127.75048650000002</v>
      </c>
      <c r="AG41" s="40"/>
      <c r="AH41" s="37">
        <f t="shared" si="15"/>
        <v>2.9660000000000002</v>
      </c>
      <c r="AI41" s="46">
        <f t="shared" si="16"/>
        <v>2.5646400000000256</v>
      </c>
      <c r="AJ41" s="47">
        <f t="shared" si="17"/>
        <v>0.55536000000000008</v>
      </c>
      <c r="AK41" s="47">
        <f t="shared" si="18"/>
        <v>127.75048650000002</v>
      </c>
      <c r="AL41" s="47">
        <f t="shared" si="19"/>
        <v>0</v>
      </c>
    </row>
    <row r="42" spans="1:38" s="22" customFormat="1" ht="15" customHeight="1" x14ac:dyDescent="0.2">
      <c r="A42" s="39">
        <f t="shared" si="20"/>
        <v>34</v>
      </c>
      <c r="B42" s="39"/>
      <c r="C42" s="4" t="s">
        <v>65</v>
      </c>
      <c r="D42" s="4" t="s">
        <v>66</v>
      </c>
      <c r="E42" s="12" t="s">
        <v>13</v>
      </c>
      <c r="F42" s="57">
        <v>83.65</v>
      </c>
      <c r="G42" s="57">
        <v>0.03</v>
      </c>
      <c r="H42" s="57">
        <f t="shared" si="0"/>
        <v>83.68</v>
      </c>
      <c r="I42" s="57">
        <v>1.1599999999999999</v>
      </c>
      <c r="J42" s="60">
        <f t="shared" si="1"/>
        <v>84.84</v>
      </c>
      <c r="K42" s="60">
        <v>2.81</v>
      </c>
      <c r="L42" s="57">
        <v>3.12</v>
      </c>
      <c r="M42" s="57">
        <f t="shared" si="2"/>
        <v>90.77000000000001</v>
      </c>
      <c r="N42" s="60">
        <v>18</v>
      </c>
      <c r="O42" s="60">
        <f t="shared" si="3"/>
        <v>108.77000000000001</v>
      </c>
      <c r="P42" s="57">
        <f t="shared" si="4"/>
        <v>18.490900000000003</v>
      </c>
      <c r="Q42" s="60">
        <f t="shared" si="5"/>
        <v>127.26090000000002</v>
      </c>
      <c r="R42" s="65">
        <f t="shared" si="6"/>
        <v>0.37440000000000001</v>
      </c>
      <c r="S42" s="65">
        <f t="shared" si="7"/>
        <v>0.74880000000000002</v>
      </c>
      <c r="T42" s="61">
        <f t="shared" si="25"/>
        <v>0.15600000000000003</v>
      </c>
      <c r="U42" s="61"/>
      <c r="V42" s="66"/>
      <c r="W42" s="61"/>
      <c r="X42" s="57">
        <f t="shared" si="8"/>
        <v>2.4960000000000006E-2</v>
      </c>
      <c r="Y42" s="65">
        <f t="shared" si="9"/>
        <v>124.69626000000001</v>
      </c>
      <c r="Z42" s="65">
        <f t="shared" si="10"/>
        <v>125.07066</v>
      </c>
      <c r="AA42" s="64">
        <f t="shared" si="26"/>
        <v>0.41844999999999999</v>
      </c>
      <c r="AB42" s="65">
        <f t="shared" si="11"/>
        <v>7.1136500000000005E-2</v>
      </c>
      <c r="AC42" s="65">
        <v>0</v>
      </c>
      <c r="AD42" s="65">
        <f t="shared" si="12"/>
        <v>125.1858465</v>
      </c>
      <c r="AE42" s="65">
        <f t="shared" si="13"/>
        <v>125.56024650000001</v>
      </c>
      <c r="AF42" s="65">
        <f t="shared" si="14"/>
        <v>127.75048650000002</v>
      </c>
      <c r="AG42" s="40"/>
      <c r="AH42" s="37">
        <f t="shared" si="15"/>
        <v>2.9660000000000002</v>
      </c>
      <c r="AI42" s="46">
        <f t="shared" si="16"/>
        <v>2.5646400000000256</v>
      </c>
      <c r="AJ42" s="47">
        <f t="shared" si="17"/>
        <v>0.55536000000000008</v>
      </c>
      <c r="AK42" s="47">
        <f t="shared" si="18"/>
        <v>127.75048650000002</v>
      </c>
      <c r="AL42" s="47">
        <f t="shared" si="19"/>
        <v>0</v>
      </c>
    </row>
    <row r="43" spans="1:38" s="22" customFormat="1" ht="15" customHeight="1" x14ac:dyDescent="0.2">
      <c r="A43" s="39">
        <f t="shared" si="20"/>
        <v>35</v>
      </c>
      <c r="B43" s="39"/>
      <c r="C43" s="4" t="s">
        <v>67</v>
      </c>
      <c r="D43" s="4" t="s">
        <v>66</v>
      </c>
      <c r="E43" s="12" t="s">
        <v>13</v>
      </c>
      <c r="F43" s="57">
        <v>83.65</v>
      </c>
      <c r="G43" s="57">
        <v>0.03</v>
      </c>
      <c r="H43" s="57">
        <f t="shared" si="0"/>
        <v>83.68</v>
      </c>
      <c r="I43" s="57">
        <v>1.1599999999999999</v>
      </c>
      <c r="J43" s="60">
        <f t="shared" si="1"/>
        <v>84.84</v>
      </c>
      <c r="K43" s="60">
        <v>2.81</v>
      </c>
      <c r="L43" s="57">
        <v>3.12</v>
      </c>
      <c r="M43" s="57">
        <f t="shared" si="2"/>
        <v>90.77000000000001</v>
      </c>
      <c r="N43" s="60">
        <v>18</v>
      </c>
      <c r="O43" s="60">
        <f t="shared" si="3"/>
        <v>108.77000000000001</v>
      </c>
      <c r="P43" s="57">
        <f t="shared" si="4"/>
        <v>18.490900000000003</v>
      </c>
      <c r="Q43" s="60">
        <f t="shared" si="5"/>
        <v>127.26090000000002</v>
      </c>
      <c r="R43" s="65">
        <f t="shared" si="6"/>
        <v>0.37440000000000001</v>
      </c>
      <c r="S43" s="65">
        <f t="shared" si="7"/>
        <v>0.74880000000000002</v>
      </c>
      <c r="T43" s="61">
        <f t="shared" si="25"/>
        <v>0.15600000000000003</v>
      </c>
      <c r="U43" s="61"/>
      <c r="V43" s="66"/>
      <c r="W43" s="61"/>
      <c r="X43" s="57">
        <f t="shared" si="8"/>
        <v>2.4960000000000006E-2</v>
      </c>
      <c r="Y43" s="65">
        <f t="shared" si="9"/>
        <v>124.69626000000001</v>
      </c>
      <c r="Z43" s="65">
        <f t="shared" si="10"/>
        <v>125.07066</v>
      </c>
      <c r="AA43" s="64">
        <f>3.0671/1000*160</f>
        <v>0.49073600000000001</v>
      </c>
      <c r="AB43" s="65">
        <f t="shared" si="11"/>
        <v>8.3425120000000005E-2</v>
      </c>
      <c r="AC43" s="65">
        <v>0</v>
      </c>
      <c r="AD43" s="65">
        <f t="shared" si="12"/>
        <v>125.27042112000001</v>
      </c>
      <c r="AE43" s="65">
        <f t="shared" si="13"/>
        <v>125.64482112</v>
      </c>
      <c r="AF43" s="65">
        <f t="shared" si="14"/>
        <v>127.83506112000002</v>
      </c>
      <c r="AG43" s="40"/>
      <c r="AH43" s="37">
        <f t="shared" si="15"/>
        <v>2.9660000000000002</v>
      </c>
      <c r="AI43" s="46">
        <f t="shared" si="16"/>
        <v>2.5646400000000114</v>
      </c>
      <c r="AJ43" s="47">
        <f t="shared" si="17"/>
        <v>0.55536000000000008</v>
      </c>
      <c r="AK43" s="47">
        <f t="shared" si="18"/>
        <v>127.83506112000002</v>
      </c>
      <c r="AL43" s="47">
        <f t="shared" si="19"/>
        <v>0</v>
      </c>
    </row>
    <row r="44" spans="1:38" s="22" customFormat="1" ht="15" customHeight="1" x14ac:dyDescent="0.2">
      <c r="A44" s="39">
        <f t="shared" si="20"/>
        <v>36</v>
      </c>
      <c r="B44" s="39"/>
      <c r="C44" s="4" t="s">
        <v>68</v>
      </c>
      <c r="D44" s="4" t="s">
        <v>66</v>
      </c>
      <c r="E44" s="12" t="s">
        <v>16</v>
      </c>
      <c r="F44" s="57">
        <v>83.65</v>
      </c>
      <c r="G44" s="57">
        <v>0.03</v>
      </c>
      <c r="H44" s="57">
        <f t="shared" si="0"/>
        <v>83.68</v>
      </c>
      <c r="I44" s="57">
        <v>1.1599999999999999</v>
      </c>
      <c r="J44" s="60">
        <f t="shared" si="1"/>
        <v>84.84</v>
      </c>
      <c r="K44" s="60">
        <v>2.81</v>
      </c>
      <c r="L44" s="57">
        <v>3.12</v>
      </c>
      <c r="M44" s="57">
        <f t="shared" si="2"/>
        <v>90.77000000000001</v>
      </c>
      <c r="N44" s="60">
        <v>18</v>
      </c>
      <c r="O44" s="60">
        <f t="shared" si="3"/>
        <v>108.77000000000001</v>
      </c>
      <c r="P44" s="57">
        <f t="shared" si="4"/>
        <v>18.490900000000003</v>
      </c>
      <c r="Q44" s="60">
        <f t="shared" si="5"/>
        <v>127.26090000000002</v>
      </c>
      <c r="R44" s="65">
        <f t="shared" si="6"/>
        <v>0.37440000000000001</v>
      </c>
      <c r="S44" s="65">
        <f t="shared" si="7"/>
        <v>0.74880000000000002</v>
      </c>
      <c r="T44" s="61">
        <f t="shared" si="25"/>
        <v>0.15600000000000003</v>
      </c>
      <c r="U44" s="61"/>
      <c r="V44" s="74">
        <v>0.02</v>
      </c>
      <c r="W44" s="61"/>
      <c r="X44" s="57">
        <f t="shared" si="8"/>
        <v>2.8160000000000004E-2</v>
      </c>
      <c r="Y44" s="65">
        <f t="shared" si="9"/>
        <v>124.71946000000001</v>
      </c>
      <c r="Z44" s="65">
        <f t="shared" si="10"/>
        <v>125.09386000000003</v>
      </c>
      <c r="AA44" s="64">
        <f>418.45/1000</f>
        <v>0.41844999999999999</v>
      </c>
      <c r="AB44" s="65">
        <f t="shared" si="11"/>
        <v>7.1136500000000005E-2</v>
      </c>
      <c r="AC44" s="65">
        <v>0</v>
      </c>
      <c r="AD44" s="65">
        <f t="shared" si="12"/>
        <v>125.2090465</v>
      </c>
      <c r="AE44" s="65">
        <f t="shared" si="13"/>
        <v>125.58344650000004</v>
      </c>
      <c r="AF44" s="65">
        <f t="shared" si="14"/>
        <v>127.75048650000002</v>
      </c>
      <c r="AG44" s="40"/>
      <c r="AH44" s="37">
        <f t="shared" si="15"/>
        <v>2.9860000000000002</v>
      </c>
      <c r="AI44" s="46">
        <f t="shared" si="16"/>
        <v>2.5414400000000228</v>
      </c>
      <c r="AJ44" s="47">
        <f t="shared" si="17"/>
        <v>0.57856000000000007</v>
      </c>
      <c r="AK44" s="47">
        <f t="shared" si="18"/>
        <v>127.75048650000002</v>
      </c>
      <c r="AL44" s="47">
        <f t="shared" si="19"/>
        <v>0</v>
      </c>
    </row>
    <row r="45" spans="1:38" s="22" customFormat="1" ht="15" customHeight="1" x14ac:dyDescent="0.2">
      <c r="A45" s="39">
        <f t="shared" si="20"/>
        <v>37</v>
      </c>
      <c r="B45" s="39"/>
      <c r="C45" s="4" t="s">
        <v>69</v>
      </c>
      <c r="D45" s="4" t="s">
        <v>70</v>
      </c>
      <c r="E45" s="12" t="s">
        <v>13</v>
      </c>
      <c r="F45" s="57">
        <v>83.65</v>
      </c>
      <c r="G45" s="57">
        <v>0.03</v>
      </c>
      <c r="H45" s="57">
        <f t="shared" si="0"/>
        <v>83.68</v>
      </c>
      <c r="I45" s="57">
        <v>1.1599999999999999</v>
      </c>
      <c r="J45" s="60">
        <f t="shared" si="1"/>
        <v>84.84</v>
      </c>
      <c r="K45" s="60">
        <v>2.81</v>
      </c>
      <c r="L45" s="57">
        <v>3.12</v>
      </c>
      <c r="M45" s="57">
        <f t="shared" si="2"/>
        <v>90.77000000000001</v>
      </c>
      <c r="N45" s="60">
        <v>18</v>
      </c>
      <c r="O45" s="60">
        <f t="shared" si="3"/>
        <v>108.77000000000001</v>
      </c>
      <c r="P45" s="57">
        <f t="shared" si="4"/>
        <v>18.490900000000003</v>
      </c>
      <c r="Q45" s="60">
        <f t="shared" si="5"/>
        <v>127.26090000000002</v>
      </c>
      <c r="R45" s="65">
        <f t="shared" si="6"/>
        <v>0.37440000000000001</v>
      </c>
      <c r="S45" s="65">
        <f t="shared" si="7"/>
        <v>0.74880000000000002</v>
      </c>
      <c r="T45" s="61">
        <f t="shared" si="25"/>
        <v>0.15600000000000003</v>
      </c>
      <c r="U45" s="61"/>
      <c r="V45" s="66"/>
      <c r="W45" s="61"/>
      <c r="X45" s="57">
        <f t="shared" si="8"/>
        <v>2.4960000000000006E-2</v>
      </c>
      <c r="Y45" s="65">
        <f t="shared" si="9"/>
        <v>124.69626000000001</v>
      </c>
      <c r="Z45" s="65">
        <f t="shared" si="10"/>
        <v>125.07066</v>
      </c>
      <c r="AA45" s="64">
        <f>3.0671/1000*400</f>
        <v>1.2268400000000002</v>
      </c>
      <c r="AB45" s="65">
        <f t="shared" si="11"/>
        <v>0.20856280000000005</v>
      </c>
      <c r="AC45" s="65">
        <v>0</v>
      </c>
      <c r="AD45" s="65">
        <f t="shared" si="12"/>
        <v>126.1316628</v>
      </c>
      <c r="AE45" s="65">
        <f t="shared" si="13"/>
        <v>126.5060628</v>
      </c>
      <c r="AF45" s="65">
        <f t="shared" si="14"/>
        <v>128.69630280000004</v>
      </c>
      <c r="AG45" s="40"/>
      <c r="AH45" s="37">
        <f t="shared" si="15"/>
        <v>2.9660000000000002</v>
      </c>
      <c r="AI45" s="46">
        <f t="shared" si="16"/>
        <v>2.5646400000000398</v>
      </c>
      <c r="AJ45" s="47">
        <f t="shared" si="17"/>
        <v>0.55536000000000008</v>
      </c>
      <c r="AK45" s="47">
        <f t="shared" si="18"/>
        <v>128.69630280000004</v>
      </c>
      <c r="AL45" s="47">
        <f t="shared" si="19"/>
        <v>0</v>
      </c>
    </row>
    <row r="46" spans="1:38" s="22" customFormat="1" ht="15" customHeight="1" x14ac:dyDescent="0.2">
      <c r="A46" s="39">
        <f t="shared" si="20"/>
        <v>38</v>
      </c>
      <c r="B46" s="39"/>
      <c r="C46" s="4" t="s">
        <v>71</v>
      </c>
      <c r="D46" s="4" t="s">
        <v>70</v>
      </c>
      <c r="E46" s="12" t="s">
        <v>13</v>
      </c>
      <c r="F46" s="57">
        <v>83.65</v>
      </c>
      <c r="G46" s="57">
        <v>0.03</v>
      </c>
      <c r="H46" s="57">
        <f t="shared" si="0"/>
        <v>83.68</v>
      </c>
      <c r="I46" s="57">
        <v>1.1599999999999999</v>
      </c>
      <c r="J46" s="60">
        <f t="shared" si="1"/>
        <v>84.84</v>
      </c>
      <c r="K46" s="60">
        <v>2.81</v>
      </c>
      <c r="L46" s="57">
        <v>3.12</v>
      </c>
      <c r="M46" s="57">
        <f t="shared" si="2"/>
        <v>90.77000000000001</v>
      </c>
      <c r="N46" s="60">
        <v>18</v>
      </c>
      <c r="O46" s="60">
        <f t="shared" si="3"/>
        <v>108.77000000000001</v>
      </c>
      <c r="P46" s="57">
        <f t="shared" si="4"/>
        <v>18.490900000000003</v>
      </c>
      <c r="Q46" s="60">
        <f t="shared" si="5"/>
        <v>127.26090000000002</v>
      </c>
      <c r="R46" s="65">
        <f t="shared" si="6"/>
        <v>0.37440000000000001</v>
      </c>
      <c r="S46" s="65">
        <f t="shared" si="7"/>
        <v>0.74880000000000002</v>
      </c>
      <c r="T46" s="61">
        <f t="shared" si="25"/>
        <v>0.15600000000000003</v>
      </c>
      <c r="U46" s="61"/>
      <c r="V46" s="66"/>
      <c r="W46" s="61"/>
      <c r="X46" s="57">
        <f t="shared" si="8"/>
        <v>2.4960000000000006E-2</v>
      </c>
      <c r="Y46" s="65">
        <f t="shared" si="9"/>
        <v>124.69626000000001</v>
      </c>
      <c r="Z46" s="65">
        <f t="shared" si="10"/>
        <v>125.07066</v>
      </c>
      <c r="AA46" s="64">
        <f>3.0671/1000*300</f>
        <v>0.92013</v>
      </c>
      <c r="AB46" s="65">
        <f t="shared" si="11"/>
        <v>0.15642210000000001</v>
      </c>
      <c r="AC46" s="65">
        <v>0</v>
      </c>
      <c r="AD46" s="65">
        <f t="shared" si="12"/>
        <v>125.77281210000001</v>
      </c>
      <c r="AE46" s="65">
        <f t="shared" si="13"/>
        <v>126.1472121</v>
      </c>
      <c r="AF46" s="65">
        <f t="shared" si="14"/>
        <v>128.33745210000001</v>
      </c>
      <c r="AG46" s="40"/>
      <c r="AH46" s="37">
        <f t="shared" si="15"/>
        <v>2.9660000000000002</v>
      </c>
      <c r="AI46" s="46">
        <f t="shared" si="16"/>
        <v>2.5646399999999971</v>
      </c>
      <c r="AJ46" s="47">
        <f t="shared" si="17"/>
        <v>0.55536000000000008</v>
      </c>
      <c r="AK46" s="47">
        <f t="shared" si="18"/>
        <v>128.33745210000001</v>
      </c>
      <c r="AL46" s="47">
        <f t="shared" si="19"/>
        <v>0</v>
      </c>
    </row>
    <row r="47" spans="1:38" s="22" customFormat="1" ht="15" customHeight="1" x14ac:dyDescent="0.2">
      <c r="A47" s="39">
        <f t="shared" si="20"/>
        <v>39</v>
      </c>
      <c r="B47" s="39"/>
      <c r="C47" s="4" t="s">
        <v>72</v>
      </c>
      <c r="D47" s="4" t="s">
        <v>31</v>
      </c>
      <c r="E47" s="12" t="s">
        <v>13</v>
      </c>
      <c r="F47" s="57">
        <v>83.65</v>
      </c>
      <c r="G47" s="57">
        <v>0.03</v>
      </c>
      <c r="H47" s="57">
        <f t="shared" si="0"/>
        <v>83.68</v>
      </c>
      <c r="I47" s="57">
        <v>1.1599999999999999</v>
      </c>
      <c r="J47" s="60">
        <f t="shared" si="1"/>
        <v>84.84</v>
      </c>
      <c r="K47" s="60">
        <v>2.81</v>
      </c>
      <c r="L47" s="57">
        <v>3.12</v>
      </c>
      <c r="M47" s="57">
        <f t="shared" si="2"/>
        <v>90.77000000000001</v>
      </c>
      <c r="N47" s="60">
        <v>18</v>
      </c>
      <c r="O47" s="60">
        <f t="shared" si="3"/>
        <v>108.77000000000001</v>
      </c>
      <c r="P47" s="57">
        <f t="shared" si="4"/>
        <v>18.490900000000003</v>
      </c>
      <c r="Q47" s="60">
        <f t="shared" si="5"/>
        <v>127.26090000000002</v>
      </c>
      <c r="R47" s="65">
        <f t="shared" si="6"/>
        <v>0.37440000000000001</v>
      </c>
      <c r="S47" s="65">
        <f t="shared" si="7"/>
        <v>0.74880000000000002</v>
      </c>
      <c r="T47" s="61">
        <f t="shared" si="25"/>
        <v>0.15600000000000003</v>
      </c>
      <c r="U47" s="61"/>
      <c r="V47" s="66"/>
      <c r="W47" s="61"/>
      <c r="X47" s="57">
        <f t="shared" si="8"/>
        <v>2.4960000000000006E-2</v>
      </c>
      <c r="Y47" s="65">
        <f t="shared" si="9"/>
        <v>124.69626000000001</v>
      </c>
      <c r="Z47" s="65">
        <f t="shared" si="10"/>
        <v>125.07066</v>
      </c>
      <c r="AA47" s="64">
        <f>3.0671/1000*200</f>
        <v>0.61342000000000008</v>
      </c>
      <c r="AB47" s="65">
        <f t="shared" si="11"/>
        <v>0.10428140000000002</v>
      </c>
      <c r="AC47" s="65">
        <v>0</v>
      </c>
      <c r="AD47" s="65">
        <f t="shared" si="12"/>
        <v>125.41396140000002</v>
      </c>
      <c r="AE47" s="65">
        <f t="shared" si="13"/>
        <v>125.78836140000001</v>
      </c>
      <c r="AF47" s="65">
        <f t="shared" si="14"/>
        <v>127.97860140000003</v>
      </c>
      <c r="AG47" s="40"/>
      <c r="AH47" s="37">
        <f t="shared" si="15"/>
        <v>2.9660000000000002</v>
      </c>
      <c r="AI47" s="46">
        <f t="shared" si="16"/>
        <v>2.5646400000000114</v>
      </c>
      <c r="AJ47" s="47">
        <f t="shared" si="17"/>
        <v>0.55536000000000008</v>
      </c>
      <c r="AK47" s="47">
        <f t="shared" si="18"/>
        <v>127.97860140000003</v>
      </c>
      <c r="AL47" s="47">
        <f t="shared" si="19"/>
        <v>0</v>
      </c>
    </row>
    <row r="48" spans="1:38" s="22" customFormat="1" ht="15" x14ac:dyDescent="0.2">
      <c r="A48" s="39">
        <f t="shared" si="20"/>
        <v>40</v>
      </c>
      <c r="B48" s="38" t="s">
        <v>116</v>
      </c>
      <c r="C48" s="38" t="str">
        <f>'PMG Master'!C48</f>
        <v>Ahsan Petroleum</v>
      </c>
      <c r="D48" s="4" t="s">
        <v>31</v>
      </c>
      <c r="E48" s="12" t="s">
        <v>16</v>
      </c>
      <c r="F48" s="57">
        <v>83.65</v>
      </c>
      <c r="G48" s="57">
        <v>0.03</v>
      </c>
      <c r="H48" s="57">
        <f t="shared" si="0"/>
        <v>83.68</v>
      </c>
      <c r="I48" s="57">
        <v>1.1599999999999999</v>
      </c>
      <c r="J48" s="60">
        <f t="shared" si="1"/>
        <v>84.84</v>
      </c>
      <c r="K48" s="60">
        <v>2.81</v>
      </c>
      <c r="L48" s="57">
        <v>3.12</v>
      </c>
      <c r="M48" s="57">
        <f t="shared" si="2"/>
        <v>90.77000000000001</v>
      </c>
      <c r="N48" s="60">
        <v>18</v>
      </c>
      <c r="O48" s="81">
        <f t="shared" si="3"/>
        <v>108.77000000000001</v>
      </c>
      <c r="P48" s="57">
        <f t="shared" si="4"/>
        <v>18.490900000000003</v>
      </c>
      <c r="Q48" s="60">
        <f t="shared" si="5"/>
        <v>127.26090000000002</v>
      </c>
      <c r="R48" s="65">
        <f t="shared" si="6"/>
        <v>0.37440000000000001</v>
      </c>
      <c r="S48" s="65">
        <f t="shared" si="7"/>
        <v>0.74880000000000002</v>
      </c>
      <c r="T48" s="61">
        <f t="shared" si="25"/>
        <v>0.15600000000000003</v>
      </c>
      <c r="U48" s="69"/>
      <c r="V48" s="69"/>
      <c r="W48" s="69"/>
      <c r="X48" s="57">
        <f t="shared" si="8"/>
        <v>2.4960000000000006E-2</v>
      </c>
      <c r="Y48" s="65">
        <f t="shared" si="9"/>
        <v>124.69626000000001</v>
      </c>
      <c r="Z48" s="65">
        <f t="shared" si="10"/>
        <v>125.07066</v>
      </c>
      <c r="AA48" s="64">
        <f>'PMG Master'!AA48</f>
        <v>0.460065</v>
      </c>
      <c r="AB48" s="65">
        <f t="shared" si="11"/>
        <v>7.8211050000000004E-2</v>
      </c>
      <c r="AC48" s="65">
        <v>0</v>
      </c>
      <c r="AD48" s="65">
        <f t="shared" si="12"/>
        <v>125.23453605</v>
      </c>
      <c r="AE48" s="65">
        <f t="shared" si="13"/>
        <v>125.60893605</v>
      </c>
      <c r="AF48" s="65">
        <f t="shared" si="14"/>
        <v>127.79917605000001</v>
      </c>
      <c r="AH48" s="37">
        <f t="shared" si="15"/>
        <v>2.9660000000000002</v>
      </c>
      <c r="AI48" s="46">
        <f t="shared" si="16"/>
        <v>2.5646400000000114</v>
      </c>
      <c r="AJ48" s="47">
        <f t="shared" si="17"/>
        <v>0.55536000000000008</v>
      </c>
      <c r="AK48" s="47">
        <f t="shared" si="18"/>
        <v>127.79917605000001</v>
      </c>
      <c r="AL48" s="47">
        <f t="shared" si="19"/>
        <v>0</v>
      </c>
    </row>
    <row r="49" spans="1:38 16384:16384" s="22" customFormat="1" ht="15" x14ac:dyDescent="0.2">
      <c r="A49" s="39">
        <f t="shared" si="20"/>
        <v>41</v>
      </c>
      <c r="B49" s="38" t="s">
        <v>135</v>
      </c>
      <c r="C49" s="38" t="str">
        <f>'PMG Master'!C49</f>
        <v>CNG Power</v>
      </c>
      <c r="D49" s="4" t="s">
        <v>9</v>
      </c>
      <c r="E49" s="12" t="s">
        <v>10</v>
      </c>
      <c r="F49" s="57">
        <v>83.65</v>
      </c>
      <c r="G49" s="57">
        <v>0.03</v>
      </c>
      <c r="H49" s="57">
        <f t="shared" si="0"/>
        <v>83.68</v>
      </c>
      <c r="I49" s="57">
        <v>1.1599999999999999</v>
      </c>
      <c r="J49" s="60">
        <f t="shared" si="1"/>
        <v>84.84</v>
      </c>
      <c r="K49" s="60">
        <v>2.81</v>
      </c>
      <c r="L49" s="57">
        <v>3.12</v>
      </c>
      <c r="M49" s="57">
        <f t="shared" si="2"/>
        <v>90.77000000000001</v>
      </c>
      <c r="N49" s="60">
        <v>18</v>
      </c>
      <c r="O49" s="81">
        <f t="shared" si="3"/>
        <v>108.77000000000001</v>
      </c>
      <c r="P49" s="57">
        <f t="shared" si="4"/>
        <v>18.490900000000003</v>
      </c>
      <c r="Q49" s="60">
        <f t="shared" si="5"/>
        <v>127.26090000000002</v>
      </c>
      <c r="R49" s="65">
        <f t="shared" si="6"/>
        <v>0.37440000000000001</v>
      </c>
      <c r="S49" s="65">
        <f t="shared" si="7"/>
        <v>0.74880000000000002</v>
      </c>
      <c r="T49" s="61">
        <f>L49*0.08</f>
        <v>0.24960000000000002</v>
      </c>
      <c r="U49" s="61">
        <v>0.06</v>
      </c>
      <c r="V49" s="61">
        <v>0.02</v>
      </c>
      <c r="W49" s="69"/>
      <c r="X49" s="57">
        <f t="shared" si="8"/>
        <v>5.2736000000000005E-2</v>
      </c>
      <c r="Y49" s="65">
        <f t="shared" si="9"/>
        <v>124.89763600000001</v>
      </c>
      <c r="Z49" s="65">
        <f t="shared" si="10"/>
        <v>125.27203600000001</v>
      </c>
      <c r="AA49" s="64">
        <f>'PMG Master'!AA49</f>
        <v>0.44779660000000004</v>
      </c>
      <c r="AB49" s="65">
        <f t="shared" si="11"/>
        <v>7.6125422000000012E-2</v>
      </c>
      <c r="AC49" s="65">
        <v>0</v>
      </c>
      <c r="AD49" s="65">
        <f t="shared" si="12"/>
        <v>125.42155802200001</v>
      </c>
      <c r="AE49" s="65">
        <f t="shared" si="13"/>
        <v>125.79595802200002</v>
      </c>
      <c r="AF49" s="65">
        <f t="shared" si="14"/>
        <v>127.78482202200003</v>
      </c>
      <c r="AH49" s="50">
        <f t="shared" si="15"/>
        <v>3.1396000000000002</v>
      </c>
      <c r="AI49" s="52">
        <f t="shared" si="16"/>
        <v>2.3632640000000151</v>
      </c>
      <c r="AJ49" s="53">
        <f t="shared" si="17"/>
        <v>0.69673600000000002</v>
      </c>
      <c r="AK49" s="53">
        <f t="shared" si="18"/>
        <v>127.78482202200003</v>
      </c>
      <c r="AL49" s="47">
        <f t="shared" si="19"/>
        <v>0</v>
      </c>
    </row>
    <row r="50" spans="1:38 16384:16384" s="22" customFormat="1" ht="15" x14ac:dyDescent="0.2">
      <c r="A50" s="39">
        <f t="shared" si="20"/>
        <v>42</v>
      </c>
      <c r="B50" s="38" t="s">
        <v>136</v>
      </c>
      <c r="C50" s="38" t="str">
        <f>'PMG Master'!C50</f>
        <v>Shan Petroleum</v>
      </c>
      <c r="D50" s="4" t="s">
        <v>12</v>
      </c>
      <c r="E50" s="12" t="s">
        <v>16</v>
      </c>
      <c r="F50" s="57">
        <v>83.65</v>
      </c>
      <c r="G50" s="57">
        <v>0.03</v>
      </c>
      <c r="H50" s="57">
        <f t="shared" si="0"/>
        <v>83.68</v>
      </c>
      <c r="I50" s="57">
        <v>1.1599999999999999</v>
      </c>
      <c r="J50" s="60">
        <f t="shared" si="1"/>
        <v>84.84</v>
      </c>
      <c r="K50" s="60">
        <v>2.81</v>
      </c>
      <c r="L50" s="57">
        <v>3.12</v>
      </c>
      <c r="M50" s="57">
        <f t="shared" si="2"/>
        <v>90.77000000000001</v>
      </c>
      <c r="N50" s="60">
        <v>18</v>
      </c>
      <c r="O50" s="81">
        <f t="shared" si="3"/>
        <v>108.77000000000001</v>
      </c>
      <c r="P50" s="57">
        <f t="shared" si="4"/>
        <v>18.490900000000003</v>
      </c>
      <c r="Q50" s="60">
        <f t="shared" si="5"/>
        <v>127.26090000000002</v>
      </c>
      <c r="R50" s="65">
        <f t="shared" si="6"/>
        <v>0.37440000000000001</v>
      </c>
      <c r="S50" s="65">
        <f t="shared" si="7"/>
        <v>0.74880000000000002</v>
      </c>
      <c r="T50" s="61">
        <f t="shared" si="25"/>
        <v>0.15600000000000003</v>
      </c>
      <c r="U50" s="61"/>
      <c r="V50" s="61"/>
      <c r="W50" s="69"/>
      <c r="X50" s="57">
        <f t="shared" si="8"/>
        <v>2.4960000000000006E-2</v>
      </c>
      <c r="Y50" s="65">
        <f t="shared" si="9"/>
        <v>124.69626000000001</v>
      </c>
      <c r="Z50" s="65">
        <f t="shared" si="10"/>
        <v>125.07066</v>
      </c>
      <c r="AA50" s="64">
        <f>'PMG Master'!AA50</f>
        <v>0.82811699999999999</v>
      </c>
      <c r="AB50" s="65">
        <f t="shared" si="11"/>
        <v>0.14077989000000002</v>
      </c>
      <c r="AC50" s="65">
        <v>0</v>
      </c>
      <c r="AD50" s="65">
        <f t="shared" si="12"/>
        <v>125.66515689000002</v>
      </c>
      <c r="AE50" s="65">
        <f t="shared" si="13"/>
        <v>126.03955689000001</v>
      </c>
      <c r="AF50" s="65">
        <f t="shared" si="14"/>
        <v>128.22979689000002</v>
      </c>
      <c r="AH50" s="37">
        <f t="shared" si="15"/>
        <v>2.9660000000000002</v>
      </c>
      <c r="AI50" s="46">
        <f t="shared" si="16"/>
        <v>2.5646399999999971</v>
      </c>
      <c r="AJ50" s="47">
        <f t="shared" si="17"/>
        <v>0.55536000000000008</v>
      </c>
      <c r="AK50" s="47">
        <f t="shared" si="18"/>
        <v>128.22979689000002</v>
      </c>
      <c r="AL50" s="47">
        <f t="shared" si="19"/>
        <v>0</v>
      </c>
    </row>
    <row r="51" spans="1:38 16384:16384" ht="15" x14ac:dyDescent="0.2">
      <c r="A51" s="39">
        <f t="shared" si="20"/>
        <v>43</v>
      </c>
      <c r="B51" s="75"/>
      <c r="C51" s="38" t="s">
        <v>141</v>
      </c>
      <c r="D51" s="4" t="s">
        <v>31</v>
      </c>
      <c r="E51" s="12" t="s">
        <v>16</v>
      </c>
      <c r="F51" s="57">
        <v>83.65</v>
      </c>
      <c r="G51" s="57">
        <v>0.03</v>
      </c>
      <c r="H51" s="57">
        <f t="shared" si="0"/>
        <v>83.68</v>
      </c>
      <c r="I51" s="57">
        <v>1.1599999999999999</v>
      </c>
      <c r="J51" s="60">
        <f t="shared" si="1"/>
        <v>84.84</v>
      </c>
      <c r="K51" s="60">
        <v>2.81</v>
      </c>
      <c r="L51" s="57">
        <v>3.12</v>
      </c>
      <c r="M51" s="57">
        <f t="shared" si="2"/>
        <v>90.77000000000001</v>
      </c>
      <c r="N51" s="60">
        <v>18</v>
      </c>
      <c r="O51" s="60">
        <f t="shared" si="3"/>
        <v>108.77000000000001</v>
      </c>
      <c r="P51" s="57">
        <f t="shared" si="4"/>
        <v>18.490900000000003</v>
      </c>
      <c r="Q51" s="60">
        <f t="shared" si="5"/>
        <v>127.26090000000002</v>
      </c>
      <c r="R51" s="65">
        <f t="shared" si="6"/>
        <v>0.37440000000000001</v>
      </c>
      <c r="S51" s="65">
        <f t="shared" si="7"/>
        <v>0.74880000000000002</v>
      </c>
      <c r="T51" s="61">
        <f t="shared" si="25"/>
        <v>0.15600000000000003</v>
      </c>
      <c r="U51" s="61"/>
      <c r="V51" s="61"/>
      <c r="W51" s="69"/>
      <c r="X51" s="57">
        <f t="shared" si="8"/>
        <v>2.4960000000000006E-2</v>
      </c>
      <c r="Y51" s="65">
        <f t="shared" si="9"/>
        <v>124.69626000000001</v>
      </c>
      <c r="Z51" s="65">
        <f t="shared" si="10"/>
        <v>125.07066</v>
      </c>
      <c r="AA51" s="64">
        <f>3.0671/1000*280</f>
        <v>0.858788</v>
      </c>
      <c r="AB51" s="65">
        <f t="shared" si="11"/>
        <v>0.14599396000000001</v>
      </c>
      <c r="AC51" s="65">
        <v>0</v>
      </c>
      <c r="AD51" s="65">
        <f t="shared" si="12"/>
        <v>125.70104196000001</v>
      </c>
      <c r="AE51" s="65">
        <f t="shared" si="13"/>
        <v>126.07544196000001</v>
      </c>
      <c r="AF51" s="65">
        <f t="shared" si="14"/>
        <v>128.26568196000002</v>
      </c>
      <c r="AH51" s="37">
        <f t="shared" si="15"/>
        <v>2.9660000000000002</v>
      </c>
      <c r="AI51" s="46">
        <f t="shared" si="16"/>
        <v>2.5646400000000114</v>
      </c>
      <c r="AJ51" s="47">
        <f t="shared" si="17"/>
        <v>0.55536000000000008</v>
      </c>
      <c r="AK51" s="47">
        <f t="shared" si="18"/>
        <v>128.26568196000002</v>
      </c>
      <c r="AL51" s="47">
        <f t="shared" si="19"/>
        <v>0</v>
      </c>
      <c r="XFD51" s="22"/>
    </row>
    <row r="52" spans="1:38 16384:16384" ht="15" x14ac:dyDescent="0.2">
      <c r="A52" s="39">
        <f t="shared" si="20"/>
        <v>44</v>
      </c>
      <c r="B52" s="75"/>
      <c r="C52" s="38" t="s">
        <v>142</v>
      </c>
      <c r="D52" s="4" t="s">
        <v>66</v>
      </c>
      <c r="E52" s="12" t="s">
        <v>21</v>
      </c>
      <c r="F52" s="57">
        <v>83.65</v>
      </c>
      <c r="G52" s="57">
        <v>0.03</v>
      </c>
      <c r="H52" s="57">
        <f t="shared" si="0"/>
        <v>83.68</v>
      </c>
      <c r="I52" s="57">
        <v>1.1599999999999999</v>
      </c>
      <c r="J52" s="60">
        <f t="shared" si="1"/>
        <v>84.84</v>
      </c>
      <c r="K52" s="60">
        <v>2.81</v>
      </c>
      <c r="L52" s="57">
        <v>3.12</v>
      </c>
      <c r="M52" s="57">
        <f t="shared" si="2"/>
        <v>90.77000000000001</v>
      </c>
      <c r="N52" s="60">
        <v>18</v>
      </c>
      <c r="O52" s="60">
        <f t="shared" si="3"/>
        <v>108.77000000000001</v>
      </c>
      <c r="P52" s="57">
        <f t="shared" si="4"/>
        <v>18.490900000000003</v>
      </c>
      <c r="Q52" s="60">
        <f t="shared" si="5"/>
        <v>127.26090000000002</v>
      </c>
      <c r="R52" s="65">
        <f t="shared" si="6"/>
        <v>0.37440000000000001</v>
      </c>
      <c r="S52" s="65">
        <f t="shared" si="7"/>
        <v>0.74880000000000002</v>
      </c>
      <c r="T52" s="61">
        <f>L52*0.07</f>
        <v>0.21840000000000004</v>
      </c>
      <c r="U52" s="61"/>
      <c r="V52" s="61"/>
      <c r="W52" s="69"/>
      <c r="X52" s="57">
        <f t="shared" si="8"/>
        <v>3.494400000000001E-2</v>
      </c>
      <c r="Y52" s="65">
        <f t="shared" si="9"/>
        <v>124.76864400000001</v>
      </c>
      <c r="Z52" s="65">
        <f t="shared" si="10"/>
        <v>125.143044</v>
      </c>
      <c r="AA52" s="64">
        <f>418.45/1000</f>
        <v>0.41844999999999999</v>
      </c>
      <c r="AB52" s="65">
        <f t="shared" si="11"/>
        <v>7.1136500000000005E-2</v>
      </c>
      <c r="AC52" s="65">
        <v>0</v>
      </c>
      <c r="AD52" s="65">
        <f t="shared" si="12"/>
        <v>125.2582305</v>
      </c>
      <c r="AE52" s="65">
        <f t="shared" si="13"/>
        <v>125.6326305</v>
      </c>
      <c r="AF52" s="65">
        <f t="shared" si="14"/>
        <v>127.75048650000002</v>
      </c>
      <c r="AH52" s="37">
        <f t="shared" si="15"/>
        <v>3.0284</v>
      </c>
      <c r="AI52" s="46">
        <f t="shared" si="16"/>
        <v>2.492256000000026</v>
      </c>
      <c r="AJ52" s="47">
        <f t="shared" si="17"/>
        <v>0.62774400000000008</v>
      </c>
      <c r="AK52" s="47">
        <f t="shared" si="18"/>
        <v>127.75048650000002</v>
      </c>
    </row>
    <row r="53" spans="1:38 16384:16384" ht="15" x14ac:dyDescent="0.2">
      <c r="A53" s="39">
        <f t="shared" si="20"/>
        <v>45</v>
      </c>
      <c r="B53" s="75"/>
      <c r="C53" s="38" t="s">
        <v>143</v>
      </c>
      <c r="D53" s="4" t="s">
        <v>31</v>
      </c>
      <c r="E53" s="12" t="s">
        <v>21</v>
      </c>
      <c r="F53" s="57">
        <v>83.65</v>
      </c>
      <c r="G53" s="57">
        <v>0.03</v>
      </c>
      <c r="H53" s="57">
        <f t="shared" si="0"/>
        <v>83.68</v>
      </c>
      <c r="I53" s="57">
        <v>1.1599999999999999</v>
      </c>
      <c r="J53" s="60">
        <f t="shared" si="1"/>
        <v>84.84</v>
      </c>
      <c r="K53" s="60">
        <v>2.81</v>
      </c>
      <c r="L53" s="57">
        <v>3.12</v>
      </c>
      <c r="M53" s="57">
        <f t="shared" si="2"/>
        <v>90.77000000000001</v>
      </c>
      <c r="N53" s="60">
        <v>18</v>
      </c>
      <c r="O53" s="60">
        <f t="shared" si="3"/>
        <v>108.77000000000001</v>
      </c>
      <c r="P53" s="57">
        <f t="shared" si="4"/>
        <v>18.490900000000003</v>
      </c>
      <c r="Q53" s="60">
        <f t="shared" si="5"/>
        <v>127.26090000000002</v>
      </c>
      <c r="R53" s="65">
        <f t="shared" si="6"/>
        <v>0.37440000000000001</v>
      </c>
      <c r="S53" s="65">
        <f t="shared" si="7"/>
        <v>0.74880000000000002</v>
      </c>
      <c r="T53" s="61">
        <f>L53*0.05</f>
        <v>0.15600000000000003</v>
      </c>
      <c r="U53" s="61"/>
      <c r="V53" s="61"/>
      <c r="W53" s="69"/>
      <c r="X53" s="57">
        <f t="shared" si="8"/>
        <v>2.4960000000000006E-2</v>
      </c>
      <c r="Y53" s="65">
        <f t="shared" si="9"/>
        <v>124.69626000000001</v>
      </c>
      <c r="Z53" s="65">
        <f t="shared" si="10"/>
        <v>125.07066</v>
      </c>
      <c r="AA53" s="64">
        <f>140*3.0671/1000</f>
        <v>0.429394</v>
      </c>
      <c r="AB53" s="65">
        <f t="shared" si="11"/>
        <v>7.2996980000000003E-2</v>
      </c>
      <c r="AC53" s="65">
        <v>0</v>
      </c>
      <c r="AD53" s="65">
        <f t="shared" si="12"/>
        <v>125.19865098000001</v>
      </c>
      <c r="AE53" s="65">
        <f t="shared" si="13"/>
        <v>125.57305098</v>
      </c>
      <c r="AF53" s="65">
        <f t="shared" si="14"/>
        <v>127.76329098000002</v>
      </c>
    </row>
    <row r="54" spans="1:38 16384:16384" ht="15" x14ac:dyDescent="0.2">
      <c r="A54" s="39">
        <f t="shared" si="20"/>
        <v>46</v>
      </c>
      <c r="B54" s="75" t="str">
        <f>'PMG Master'!B54</f>
        <v>R-00115</v>
      </c>
      <c r="C54" s="80" t="str">
        <f>'PMG Master'!C54</f>
        <v>Ashraf F/S</v>
      </c>
      <c r="D54" s="4" t="str">
        <f>'PMG Master'!D54</f>
        <v>Bhimber</v>
      </c>
      <c r="E54" s="12" t="s">
        <v>13</v>
      </c>
      <c r="F54" s="57">
        <v>83.65</v>
      </c>
      <c r="G54" s="57">
        <v>0.03</v>
      </c>
      <c r="H54" s="57">
        <f t="shared" ref="H54:H55" si="27">F54+G54</f>
        <v>83.68</v>
      </c>
      <c r="I54" s="57">
        <v>1.1599999999999999</v>
      </c>
      <c r="J54" s="60">
        <f t="shared" ref="J54:J55" si="28">H54+I54</f>
        <v>84.84</v>
      </c>
      <c r="K54" s="60">
        <v>2.81</v>
      </c>
      <c r="L54" s="57">
        <v>3.12</v>
      </c>
      <c r="M54" s="57">
        <f t="shared" ref="M54:M55" si="29">J54+K54+L54</f>
        <v>90.77000000000001</v>
      </c>
      <c r="N54" s="60">
        <v>18</v>
      </c>
      <c r="O54" s="81">
        <f t="shared" ref="O54:O55" si="30">M54+N54</f>
        <v>108.77000000000001</v>
      </c>
      <c r="P54" s="57">
        <f t="shared" si="4"/>
        <v>18.490900000000003</v>
      </c>
      <c r="Q54" s="60">
        <f t="shared" ref="Q54:Q55" si="31">P54+O54</f>
        <v>127.26090000000002</v>
      </c>
      <c r="R54" s="65">
        <f t="shared" ref="R54:R55" si="32">L54*0.12</f>
        <v>0.37440000000000001</v>
      </c>
      <c r="S54" s="65">
        <f t="shared" ref="S54:S55" si="33">L54*0.24</f>
        <v>0.74880000000000002</v>
      </c>
      <c r="T54" s="61">
        <f>L54*0.05</f>
        <v>0.15600000000000003</v>
      </c>
      <c r="U54" s="61"/>
      <c r="V54" s="61"/>
      <c r="W54" s="69"/>
      <c r="X54" s="57">
        <f t="shared" ref="X54:X55" si="34">(T54+U54+V54+W54)*0.16</f>
        <v>2.4960000000000006E-2</v>
      </c>
      <c r="Y54" s="65">
        <f t="shared" ref="Y54:Y55" si="35">Q54+R54+T54+U54+V54+W54+X54-L54</f>
        <v>124.69626000000001</v>
      </c>
      <c r="Z54" s="65">
        <f t="shared" ref="Z54:Z55" si="36">Q54+S54+T54+U54+V54+W54+X54-L54</f>
        <v>125.07066</v>
      </c>
      <c r="AA54" s="64">
        <f>'PMG Master'!AA54</f>
        <v>0.52140700000000006</v>
      </c>
      <c r="AB54" s="65">
        <f t="shared" ref="AB54:AB55" si="37">AA54*0.17</f>
        <v>8.863919000000002E-2</v>
      </c>
      <c r="AC54" s="65">
        <v>0</v>
      </c>
      <c r="AD54" s="65">
        <f t="shared" ref="AD54:AD55" si="38">Y54+AA54+AB54</f>
        <v>125.30630619</v>
      </c>
      <c r="AE54" s="65">
        <f t="shared" ref="AE54:AE55" si="39">Z54+AA54+AB54</f>
        <v>125.68070619</v>
      </c>
      <c r="AF54" s="65">
        <f t="shared" ref="AF54:AF55" si="40">Q54+AA54+AB54</f>
        <v>127.87094619000001</v>
      </c>
    </row>
    <row r="55" spans="1:38 16384:16384" ht="15" x14ac:dyDescent="0.2">
      <c r="A55" s="39">
        <f t="shared" si="20"/>
        <v>47</v>
      </c>
      <c r="B55" s="75"/>
      <c r="C55" s="80" t="s">
        <v>159</v>
      </c>
      <c r="D55" s="4" t="str">
        <f>'PMG Master'!D55</f>
        <v>Sahiwal</v>
      </c>
      <c r="E55" s="88" t="s">
        <v>16</v>
      </c>
      <c r="F55" s="57">
        <v>83.65</v>
      </c>
      <c r="G55" s="57">
        <v>0.03</v>
      </c>
      <c r="H55" s="57">
        <f t="shared" si="27"/>
        <v>83.68</v>
      </c>
      <c r="I55" s="57">
        <v>1.1599999999999999</v>
      </c>
      <c r="J55" s="60">
        <f t="shared" si="28"/>
        <v>84.84</v>
      </c>
      <c r="K55" s="60">
        <v>2.81</v>
      </c>
      <c r="L55" s="57">
        <v>3.12</v>
      </c>
      <c r="M55" s="57">
        <f t="shared" si="29"/>
        <v>90.77000000000001</v>
      </c>
      <c r="N55" s="60">
        <v>18</v>
      </c>
      <c r="O55" s="81">
        <f t="shared" si="30"/>
        <v>108.77000000000001</v>
      </c>
      <c r="P55" s="57">
        <f t="shared" si="4"/>
        <v>18.490900000000003</v>
      </c>
      <c r="Q55" s="60">
        <f t="shared" si="31"/>
        <v>127.26090000000002</v>
      </c>
      <c r="R55" s="65">
        <f t="shared" si="32"/>
        <v>0.37440000000000001</v>
      </c>
      <c r="S55" s="65">
        <f t="shared" si="33"/>
        <v>0.74880000000000002</v>
      </c>
      <c r="T55" s="61">
        <f>L55*0.05</f>
        <v>0.15600000000000003</v>
      </c>
      <c r="U55" s="61"/>
      <c r="V55" s="61"/>
      <c r="W55" s="69"/>
      <c r="X55" s="57">
        <f t="shared" si="34"/>
        <v>2.4960000000000006E-2</v>
      </c>
      <c r="Y55" s="65">
        <f t="shared" si="35"/>
        <v>124.69626000000001</v>
      </c>
      <c r="Z55" s="65">
        <f t="shared" si="36"/>
        <v>125.07066</v>
      </c>
      <c r="AA55" s="64">
        <f>'PMG Master'!AA56</f>
        <v>0.41844999999999999</v>
      </c>
      <c r="AB55" s="65">
        <f t="shared" si="37"/>
        <v>7.1136500000000005E-2</v>
      </c>
      <c r="AC55" s="65">
        <v>0</v>
      </c>
      <c r="AD55" s="65">
        <f t="shared" si="38"/>
        <v>125.1858465</v>
      </c>
      <c r="AE55" s="65">
        <f t="shared" si="39"/>
        <v>125.56024650000001</v>
      </c>
      <c r="AF55" s="65">
        <f t="shared" si="40"/>
        <v>127.75048650000002</v>
      </c>
    </row>
  </sheetData>
  <autoFilter ref="A7:AF54" xr:uid="{00000000-0009-0000-0000-000001000000}">
    <filterColumn colId="17" showButton="0"/>
    <filterColumn colId="20" showButton="0"/>
    <filterColumn colId="21" showButton="0"/>
    <filterColumn colId="24" showButton="0"/>
    <filterColumn colId="29" showButton="0"/>
  </autoFilter>
  <mergeCells count="27">
    <mergeCell ref="AF7:AF8"/>
    <mergeCell ref="AC7:AC8"/>
    <mergeCell ref="U7:W7"/>
    <mergeCell ref="X7:X8"/>
    <mergeCell ref="Y7:Z7"/>
    <mergeCell ref="AA7:AA8"/>
    <mergeCell ref="AB7:AB8"/>
    <mergeCell ref="AD7:AE7"/>
    <mergeCell ref="T7:T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S7"/>
    <mergeCell ref="G7:G8"/>
    <mergeCell ref="A7:A8"/>
    <mergeCell ref="C7:C8"/>
    <mergeCell ref="D7:D8"/>
    <mergeCell ref="E7:E8"/>
    <mergeCell ref="F7:F8"/>
    <mergeCell ref="B7:B8"/>
  </mergeCells>
  <pageMargins left="0.75" right="0.75" top="1" bottom="1" header="0.5" footer="0.5"/>
  <pageSetup scale="21" orientation="portrait" r:id="rId1"/>
  <headerFooter alignWithMargins="0"/>
  <colBreaks count="1" manualBreakCount="1">
    <brk id="32" max="1048575" man="1"/>
  </colBreaks>
  <ignoredErrors>
    <ignoredError sqref="P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K56"/>
  <sheetViews>
    <sheetView showGridLines="0" view="pageBreakPreview" topLeftCell="L1" zoomScale="80" zoomScaleNormal="100" zoomScaleSheetLayoutView="80" workbookViewId="0">
      <pane ySplit="8" topLeftCell="A31" activePane="bottomLeft" state="frozen"/>
      <selection activeCell="C46" sqref="C46"/>
      <selection pane="bottomLeft" activeCell="C46" sqref="C46"/>
    </sheetView>
  </sheetViews>
  <sheetFormatPr baseColWidth="10" defaultColWidth="8.83203125" defaultRowHeight="13" x14ac:dyDescent="0.15"/>
  <cols>
    <col min="1" max="1" width="8" customWidth="1"/>
    <col min="2" max="2" width="12.6640625" customWidth="1"/>
    <col min="3" max="4" width="26" customWidth="1"/>
    <col min="5" max="5" width="20.5" bestFit="1" customWidth="1"/>
    <col min="6" max="6" width="20.5" customWidth="1"/>
    <col min="7" max="7" width="9.1640625" customWidth="1"/>
    <col min="8" max="8" width="12.5" customWidth="1"/>
    <col min="9" max="9" width="16.6640625" customWidth="1"/>
    <col min="10" max="10" width="18.5" customWidth="1"/>
    <col min="11" max="11" width="9.33203125" customWidth="1"/>
    <col min="12" max="12" width="21.1640625" customWidth="1"/>
    <col min="13" max="13" width="14.1640625" customWidth="1"/>
    <col min="14" max="14" width="15" customWidth="1"/>
    <col min="15" max="15" width="17" customWidth="1"/>
    <col min="16" max="16" width="16.33203125" customWidth="1"/>
    <col min="17" max="17" width="16.1640625" customWidth="1"/>
    <col min="18" max="18" width="11.5" customWidth="1"/>
    <col min="19" max="19" width="17.5" customWidth="1"/>
    <col min="20" max="20" width="23.5" bestFit="1" customWidth="1"/>
    <col min="21" max="21" width="14.33203125" customWidth="1"/>
    <col min="22" max="22" width="9.33203125" customWidth="1"/>
    <col min="23" max="23" width="12.33203125" bestFit="1" customWidth="1"/>
    <col min="24" max="24" width="10.6640625" customWidth="1"/>
    <col min="25" max="25" width="14.6640625" customWidth="1"/>
    <col min="26" max="26" width="15.5" bestFit="1" customWidth="1"/>
    <col min="27" max="27" width="11.33203125" bestFit="1" customWidth="1"/>
    <col min="28" max="29" width="13.1640625" customWidth="1"/>
    <col min="30" max="30" width="15.5" bestFit="1" customWidth="1"/>
    <col min="31" max="31" width="12.6640625" customWidth="1"/>
    <col min="32" max="32" width="12.6640625" style="22" customWidth="1"/>
    <col min="33" max="33" width="18.5" style="22" customWidth="1"/>
    <col min="34" max="34" width="10.1640625" bestFit="1" customWidth="1"/>
    <col min="35" max="35" width="11" bestFit="1" customWidth="1"/>
    <col min="36" max="36" width="12.33203125" bestFit="1" customWidth="1"/>
    <col min="37" max="37" width="10.5" bestFit="1" customWidth="1"/>
  </cols>
  <sheetData>
    <row r="1" spans="1:37" x14ac:dyDescent="0.15">
      <c r="A1" s="1" t="s">
        <v>0</v>
      </c>
      <c r="B1" s="1"/>
      <c r="E1" s="42"/>
      <c r="F1" s="42"/>
      <c r="G1" s="22"/>
      <c r="H1" s="22"/>
      <c r="I1" s="43"/>
    </row>
    <row r="2" spans="1:37" x14ac:dyDescent="0.15">
      <c r="A2" s="1" t="s">
        <v>139</v>
      </c>
      <c r="B2" s="1"/>
      <c r="E2" s="22"/>
      <c r="F2" s="22"/>
      <c r="G2" s="22"/>
      <c r="H2" s="22"/>
      <c r="I2" s="22"/>
    </row>
    <row r="3" spans="1:37" x14ac:dyDescent="0.15">
      <c r="A3" s="1" t="s">
        <v>138</v>
      </c>
      <c r="B3" s="1"/>
      <c r="E3" s="22"/>
      <c r="F3" s="22"/>
      <c r="G3" s="22"/>
      <c r="H3" s="22"/>
      <c r="I3" s="22"/>
    </row>
    <row r="4" spans="1:37" x14ac:dyDescent="0.15">
      <c r="A4" s="1"/>
      <c r="B4" s="1"/>
    </row>
    <row r="5" spans="1:37" ht="20" customHeight="1" x14ac:dyDescent="0.15">
      <c r="A5" s="7" t="s">
        <v>89</v>
      </c>
      <c r="B5" s="21"/>
      <c r="J5" s="29"/>
      <c r="T5" s="85"/>
      <c r="AG5" s="78"/>
      <c r="AH5" s="29"/>
    </row>
    <row r="6" spans="1:37" s="22" customFormat="1" ht="5" customHeight="1" x14ac:dyDescent="0.15">
      <c r="A6" s="21"/>
      <c r="B6" s="21"/>
      <c r="T6" s="23"/>
    </row>
    <row r="7" spans="1:37" s="24" customFormat="1" ht="15" customHeight="1" x14ac:dyDescent="0.2">
      <c r="A7" s="122" t="s">
        <v>3</v>
      </c>
      <c r="B7" s="122" t="s">
        <v>110</v>
      </c>
      <c r="C7" s="122" t="s">
        <v>4</v>
      </c>
      <c r="D7" s="122" t="s">
        <v>154</v>
      </c>
      <c r="E7" s="122" t="s">
        <v>5</v>
      </c>
      <c r="F7" s="122" t="s">
        <v>160</v>
      </c>
      <c r="G7" s="122" t="s">
        <v>6</v>
      </c>
      <c r="H7" s="122" t="s">
        <v>7</v>
      </c>
      <c r="I7" s="122" t="s">
        <v>73</v>
      </c>
      <c r="J7" s="122" t="s">
        <v>77</v>
      </c>
      <c r="K7" s="122" t="s">
        <v>74</v>
      </c>
      <c r="L7" s="122" t="s">
        <v>78</v>
      </c>
      <c r="M7" s="122" t="s">
        <v>75</v>
      </c>
      <c r="N7" s="122" t="s">
        <v>76</v>
      </c>
      <c r="O7" s="122" t="s">
        <v>79</v>
      </c>
      <c r="P7" s="122" t="s">
        <v>80</v>
      </c>
      <c r="Q7" s="127" t="s">
        <v>81</v>
      </c>
      <c r="R7" s="122" t="s">
        <v>82</v>
      </c>
      <c r="S7" s="122" t="s">
        <v>84</v>
      </c>
      <c r="T7" s="31" t="s">
        <v>92</v>
      </c>
      <c r="U7" s="124" t="s">
        <v>93</v>
      </c>
      <c r="V7" s="133" t="s">
        <v>96</v>
      </c>
      <c r="W7" s="133"/>
      <c r="X7" s="133"/>
      <c r="Y7" s="134" t="s">
        <v>100</v>
      </c>
      <c r="Z7" s="84" t="s">
        <v>107</v>
      </c>
      <c r="AA7" s="124" t="s">
        <v>103</v>
      </c>
      <c r="AB7" s="129" t="s">
        <v>104</v>
      </c>
      <c r="AC7" s="129" t="s">
        <v>108</v>
      </c>
      <c r="AD7" s="31" t="s">
        <v>105</v>
      </c>
      <c r="AE7" s="124" t="s">
        <v>106</v>
      </c>
      <c r="AF7" s="33"/>
      <c r="AG7" s="77"/>
      <c r="AH7" s="76"/>
      <c r="AI7" s="76"/>
    </row>
    <row r="8" spans="1:37" s="14" customFormat="1" ht="20" customHeight="1" x14ac:dyDescent="0.15">
      <c r="A8" s="123"/>
      <c r="B8" s="128"/>
      <c r="C8" s="123"/>
      <c r="D8" s="123"/>
      <c r="E8" s="123"/>
      <c r="F8" s="128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31" t="s">
        <v>156</v>
      </c>
      <c r="U8" s="131"/>
      <c r="V8" s="32" t="s">
        <v>97</v>
      </c>
      <c r="W8" s="32" t="s">
        <v>98</v>
      </c>
      <c r="X8" s="32" t="s">
        <v>99</v>
      </c>
      <c r="Y8" s="135"/>
      <c r="Z8" s="31" t="s">
        <v>157</v>
      </c>
      <c r="AA8" s="131"/>
      <c r="AB8" s="130"/>
      <c r="AC8" s="132"/>
      <c r="AD8" s="31" t="s">
        <v>157</v>
      </c>
      <c r="AE8" s="131"/>
      <c r="AF8" s="33"/>
      <c r="AG8" s="35" t="s">
        <v>130</v>
      </c>
      <c r="AH8" s="36" t="s">
        <v>129</v>
      </c>
      <c r="AI8" s="36" t="s">
        <v>131</v>
      </c>
      <c r="AJ8" s="36" t="s">
        <v>106</v>
      </c>
      <c r="AK8" s="36" t="s">
        <v>132</v>
      </c>
    </row>
    <row r="9" spans="1:37" s="22" customFormat="1" ht="15" customHeight="1" x14ac:dyDescent="0.2">
      <c r="A9" s="79">
        <v>1</v>
      </c>
      <c r="B9" s="3" t="s">
        <v>111</v>
      </c>
      <c r="C9" s="3" t="s">
        <v>11</v>
      </c>
      <c r="D9" s="3" t="s">
        <v>101</v>
      </c>
      <c r="E9" s="41" t="s">
        <v>12</v>
      </c>
      <c r="F9" s="97" t="str">
        <f>VLOOKUP(B9,'supply points'!A2:C19,3,0)</f>
        <v> CPI</v>
      </c>
      <c r="G9" s="12" t="s">
        <v>13</v>
      </c>
      <c r="H9" s="57">
        <v>74.56</v>
      </c>
      <c r="I9" s="57">
        <v>0</v>
      </c>
      <c r="J9" s="57">
        <f t="shared" ref="J9:J25" si="0">H9+I9</f>
        <v>74.56</v>
      </c>
      <c r="K9" s="57">
        <v>3.59</v>
      </c>
      <c r="L9" s="60">
        <f t="shared" ref="L9:L25" si="1">J9+K9</f>
        <v>78.150000000000006</v>
      </c>
      <c r="M9" s="57">
        <v>2.81</v>
      </c>
      <c r="N9" s="57">
        <v>3.7</v>
      </c>
      <c r="O9" s="57">
        <f t="shared" ref="O9:O25" si="2">L9+M9+N9</f>
        <v>84.660000000000011</v>
      </c>
      <c r="P9" s="60">
        <v>15</v>
      </c>
      <c r="Q9" s="81">
        <f t="shared" ref="Q9:Q25" si="3">P9+O9</f>
        <v>99.660000000000011</v>
      </c>
      <c r="R9" s="57">
        <f t="shared" ref="R9:R25" si="4">Q9*0.17</f>
        <v>16.942200000000003</v>
      </c>
      <c r="S9" s="59">
        <f t="shared" ref="S9:S25" si="5">Q9+R9</f>
        <v>116.60220000000001</v>
      </c>
      <c r="T9" s="57">
        <f t="shared" ref="T9:T10" si="6">N9*0.12</f>
        <v>0.44400000000000001</v>
      </c>
      <c r="U9" s="61">
        <f>N9*0.05</f>
        <v>0.18500000000000003</v>
      </c>
      <c r="V9" s="61"/>
      <c r="W9" s="61"/>
      <c r="X9" s="61"/>
      <c r="Y9" s="57">
        <f t="shared" ref="Y9:Y25" si="7">(U9+V9+W9+X9)*0.16</f>
        <v>2.9600000000000005E-2</v>
      </c>
      <c r="Z9" s="63">
        <f t="shared" ref="Z9:Z25" si="8">S9+T9+U9+V9+W9+X9+Y9-N9</f>
        <v>113.56080000000001</v>
      </c>
      <c r="AA9" s="64">
        <f t="shared" ref="AA9:AA10" si="9">418.45/1000</f>
        <v>0.41844999999999999</v>
      </c>
      <c r="AB9" s="65">
        <f t="shared" ref="AB9:AB25" si="10">AA9*0.17</f>
        <v>7.1136500000000005E-2</v>
      </c>
      <c r="AC9" s="63">
        <v>0</v>
      </c>
      <c r="AD9" s="63">
        <f t="shared" ref="AD9:AD25" si="11">Z9+AA9+AB9</f>
        <v>114.0503865</v>
      </c>
      <c r="AE9" s="65">
        <f t="shared" ref="AE9:AE25" si="12">S9+AA9+AB9</f>
        <v>117.09178650000001</v>
      </c>
      <c r="AF9" s="34">
        <f>24000*AF12</f>
        <v>0</v>
      </c>
      <c r="AG9" s="37">
        <f t="shared" ref="AG9:AG25" si="13">M9+U9+V9+W9+X9</f>
        <v>2.9950000000000001</v>
      </c>
      <c r="AH9" s="46">
        <f t="shared" ref="AH9:AH25" si="14">AE9-AD9</f>
        <v>3.0414000000000101</v>
      </c>
      <c r="AI9" s="47">
        <f t="shared" ref="AI9:AI25" si="15">Y9+W9+U9+T9</f>
        <v>0.65860000000000007</v>
      </c>
      <c r="AJ9" s="47">
        <f t="shared" ref="AJ9:AJ25" si="16">AD9+AH9</f>
        <v>117.09178650000001</v>
      </c>
      <c r="AK9" s="47">
        <f t="shared" ref="AK9:AK25" si="17">AJ9-AE9</f>
        <v>0</v>
      </c>
    </row>
    <row r="10" spans="1:37" s="22" customFormat="1" ht="15" customHeight="1" x14ac:dyDescent="0.2">
      <c r="A10" s="79">
        <f>A9+1</f>
        <v>2</v>
      </c>
      <c r="B10" s="3" t="s">
        <v>124</v>
      </c>
      <c r="C10" s="3" t="s">
        <v>125</v>
      </c>
      <c r="D10" s="3" t="str">
        <f>D9</f>
        <v>Filer</v>
      </c>
      <c r="E10" s="41" t="s">
        <v>15</v>
      </c>
      <c r="F10" s="97" t="str">
        <f>VLOOKUP(B10,'supply points'!A3:C20,3,0)</f>
        <v> SIH</v>
      </c>
      <c r="G10" s="12" t="s">
        <v>16</v>
      </c>
      <c r="H10" s="57">
        <v>74.56</v>
      </c>
      <c r="I10" s="57">
        <v>0</v>
      </c>
      <c r="J10" s="57">
        <f t="shared" si="0"/>
        <v>74.56</v>
      </c>
      <c r="K10" s="57">
        <v>3.59</v>
      </c>
      <c r="L10" s="60">
        <f t="shared" si="1"/>
        <v>78.150000000000006</v>
      </c>
      <c r="M10" s="57">
        <v>2.81</v>
      </c>
      <c r="N10" s="57">
        <v>3.7</v>
      </c>
      <c r="O10" s="57">
        <f t="shared" si="2"/>
        <v>84.660000000000011</v>
      </c>
      <c r="P10" s="60">
        <v>15</v>
      </c>
      <c r="Q10" s="81">
        <f t="shared" si="3"/>
        <v>99.660000000000011</v>
      </c>
      <c r="R10" s="57">
        <f t="shared" si="4"/>
        <v>16.942200000000003</v>
      </c>
      <c r="S10" s="59">
        <f t="shared" si="5"/>
        <v>116.60220000000001</v>
      </c>
      <c r="T10" s="57">
        <f t="shared" si="6"/>
        <v>0.44400000000000001</v>
      </c>
      <c r="U10" s="61">
        <f>N10*0.05</f>
        <v>0.18500000000000003</v>
      </c>
      <c r="V10" s="61"/>
      <c r="W10" s="61"/>
      <c r="X10" s="61"/>
      <c r="Y10" s="57">
        <f t="shared" si="7"/>
        <v>2.9600000000000005E-2</v>
      </c>
      <c r="Z10" s="63">
        <f t="shared" si="8"/>
        <v>113.56080000000001</v>
      </c>
      <c r="AA10" s="64">
        <f t="shared" si="9"/>
        <v>0.41844999999999999</v>
      </c>
      <c r="AB10" s="65">
        <f t="shared" si="10"/>
        <v>7.1136500000000005E-2</v>
      </c>
      <c r="AC10" s="63">
        <v>0</v>
      </c>
      <c r="AD10" s="63">
        <f t="shared" si="11"/>
        <v>114.0503865</v>
      </c>
      <c r="AE10" s="65">
        <f t="shared" si="12"/>
        <v>117.09178650000001</v>
      </c>
      <c r="AF10" s="34"/>
      <c r="AG10" s="37">
        <f t="shared" si="13"/>
        <v>2.9950000000000001</v>
      </c>
      <c r="AH10" s="46">
        <f t="shared" si="14"/>
        <v>3.0414000000000101</v>
      </c>
      <c r="AI10" s="47">
        <f t="shared" si="15"/>
        <v>0.65860000000000007</v>
      </c>
      <c r="AJ10" s="47">
        <f t="shared" si="16"/>
        <v>117.09178650000001</v>
      </c>
      <c r="AK10" s="47">
        <f t="shared" si="17"/>
        <v>0</v>
      </c>
    </row>
    <row r="11" spans="1:37" s="22" customFormat="1" ht="15" customHeight="1" x14ac:dyDescent="0.2">
      <c r="A11" s="79">
        <f t="shared" ref="A11:A12" si="18">A10+1</f>
        <v>3</v>
      </c>
      <c r="B11" s="3" t="s">
        <v>112</v>
      </c>
      <c r="C11" s="3" t="s">
        <v>146</v>
      </c>
      <c r="D11" s="3" t="str">
        <f t="shared" ref="D11:D12" si="19">D10</f>
        <v>Filer</v>
      </c>
      <c r="E11" s="41" t="s">
        <v>18</v>
      </c>
      <c r="F11" s="97" t="str">
        <f>VLOOKUP(B11,'supply points'!A4:C21,3,0)</f>
        <v> GAT</v>
      </c>
      <c r="G11" s="12" t="s">
        <v>16</v>
      </c>
      <c r="H11" s="57">
        <v>74.56</v>
      </c>
      <c r="I11" s="57">
        <v>0</v>
      </c>
      <c r="J11" s="57">
        <f t="shared" si="0"/>
        <v>74.56</v>
      </c>
      <c r="K11" s="57">
        <v>3.59</v>
      </c>
      <c r="L11" s="60">
        <f t="shared" si="1"/>
        <v>78.150000000000006</v>
      </c>
      <c r="M11" s="57">
        <v>2.81</v>
      </c>
      <c r="N11" s="57">
        <v>3.7</v>
      </c>
      <c r="O11" s="57">
        <f t="shared" si="2"/>
        <v>84.660000000000011</v>
      </c>
      <c r="P11" s="60">
        <v>15</v>
      </c>
      <c r="Q11" s="81">
        <f t="shared" si="3"/>
        <v>99.660000000000011</v>
      </c>
      <c r="R11" s="57">
        <f t="shared" si="4"/>
        <v>16.942200000000003</v>
      </c>
      <c r="S11" s="59">
        <f t="shared" si="5"/>
        <v>116.60220000000001</v>
      </c>
      <c r="T11" s="57">
        <f>N11*0.12</f>
        <v>0.44400000000000001</v>
      </c>
      <c r="U11" s="61">
        <f>N11*0.05</f>
        <v>0.18500000000000003</v>
      </c>
      <c r="V11" s="61"/>
      <c r="W11" s="61"/>
      <c r="X11" s="61"/>
      <c r="Y11" s="57">
        <f t="shared" si="7"/>
        <v>2.9600000000000005E-2</v>
      </c>
      <c r="Z11" s="63">
        <f t="shared" si="8"/>
        <v>113.56080000000001</v>
      </c>
      <c r="AA11" s="64">
        <f>186*3.0671/1000</f>
        <v>0.5704806</v>
      </c>
      <c r="AB11" s="65">
        <f t="shared" si="10"/>
        <v>9.6981702000000003E-2</v>
      </c>
      <c r="AC11" s="63">
        <v>0</v>
      </c>
      <c r="AD11" s="63">
        <f t="shared" si="11"/>
        <v>114.228262302</v>
      </c>
      <c r="AE11" s="65">
        <f t="shared" si="12"/>
        <v>117.269662302</v>
      </c>
      <c r="AF11" s="34"/>
      <c r="AG11" s="37">
        <f t="shared" si="13"/>
        <v>2.9950000000000001</v>
      </c>
      <c r="AH11" s="46">
        <f t="shared" si="14"/>
        <v>3.0413999999999959</v>
      </c>
      <c r="AI11" s="47">
        <f t="shared" si="15"/>
        <v>0.65860000000000007</v>
      </c>
      <c r="AJ11" s="47">
        <f t="shared" si="16"/>
        <v>117.269662302</v>
      </c>
      <c r="AK11" s="47">
        <f t="shared" si="17"/>
        <v>0</v>
      </c>
    </row>
    <row r="12" spans="1:37" s="22" customFormat="1" ht="15" customHeight="1" x14ac:dyDescent="0.2">
      <c r="A12" s="79">
        <f t="shared" si="18"/>
        <v>4</v>
      </c>
      <c r="B12" s="3" t="s">
        <v>127</v>
      </c>
      <c r="C12" s="3" t="s">
        <v>128</v>
      </c>
      <c r="D12" s="3" t="str">
        <f t="shared" si="19"/>
        <v>Filer</v>
      </c>
      <c r="E12" s="41" t="s">
        <v>20</v>
      </c>
      <c r="F12" s="97" t="str">
        <f>VLOOKUP(B12,'supply points'!A5:C22,3,0)</f>
        <v> VHR</v>
      </c>
      <c r="G12" s="12" t="s">
        <v>21</v>
      </c>
      <c r="H12" s="57">
        <v>74.56</v>
      </c>
      <c r="I12" s="57">
        <v>0</v>
      </c>
      <c r="J12" s="57">
        <f t="shared" si="0"/>
        <v>74.56</v>
      </c>
      <c r="K12" s="57">
        <v>3.59</v>
      </c>
      <c r="L12" s="60">
        <f t="shared" si="1"/>
        <v>78.150000000000006</v>
      </c>
      <c r="M12" s="57">
        <v>2.81</v>
      </c>
      <c r="N12" s="57">
        <v>3.7</v>
      </c>
      <c r="O12" s="57">
        <f t="shared" si="2"/>
        <v>84.660000000000011</v>
      </c>
      <c r="P12" s="60">
        <v>15</v>
      </c>
      <c r="Q12" s="81">
        <f t="shared" si="3"/>
        <v>99.660000000000011</v>
      </c>
      <c r="R12" s="57">
        <f t="shared" si="4"/>
        <v>16.942200000000003</v>
      </c>
      <c r="S12" s="59">
        <f t="shared" si="5"/>
        <v>116.60220000000001</v>
      </c>
      <c r="T12" s="57">
        <f t="shared" ref="T12:T24" si="20">N12*0.12</f>
        <v>0.44400000000000001</v>
      </c>
      <c r="U12" s="61">
        <f>N12*0.07</f>
        <v>0.25900000000000006</v>
      </c>
      <c r="V12" s="61"/>
      <c r="W12" s="61"/>
      <c r="X12" s="61"/>
      <c r="Y12" s="57">
        <f t="shared" si="7"/>
        <v>4.1440000000000012E-2</v>
      </c>
      <c r="Z12" s="63">
        <f t="shared" si="8"/>
        <v>113.64664</v>
      </c>
      <c r="AA12" s="64">
        <f t="shared" ref="AA12:AA13" si="21">418.45/1000</f>
        <v>0.41844999999999999</v>
      </c>
      <c r="AB12" s="65">
        <f t="shared" si="10"/>
        <v>7.1136500000000005E-2</v>
      </c>
      <c r="AC12" s="63">
        <v>0</v>
      </c>
      <c r="AD12" s="92">
        <f t="shared" si="11"/>
        <v>114.13622649999999</v>
      </c>
      <c r="AE12" s="65">
        <f t="shared" si="12"/>
        <v>117.09178650000001</v>
      </c>
      <c r="AF12" s="93">
        <f>AA12-AA14</f>
        <v>0</v>
      </c>
      <c r="AG12" s="37">
        <f t="shared" si="13"/>
        <v>3.069</v>
      </c>
      <c r="AH12" s="46">
        <f t="shared" si="14"/>
        <v>2.9555600000000197</v>
      </c>
      <c r="AI12" s="47">
        <f t="shared" si="15"/>
        <v>0.7444400000000001</v>
      </c>
      <c r="AJ12" s="47">
        <f t="shared" si="16"/>
        <v>117.09178650000001</v>
      </c>
      <c r="AK12" s="47">
        <f t="shared" si="17"/>
        <v>0</v>
      </c>
    </row>
    <row r="13" spans="1:37" s="22" customFormat="1" ht="15" customHeight="1" x14ac:dyDescent="0.2">
      <c r="A13" s="79">
        <f>A12+1</f>
        <v>5</v>
      </c>
      <c r="B13" s="3" t="s">
        <v>126</v>
      </c>
      <c r="C13" s="3" t="s">
        <v>30</v>
      </c>
      <c r="D13" s="3" t="s">
        <v>101</v>
      </c>
      <c r="E13" s="4" t="s">
        <v>31</v>
      </c>
      <c r="F13" s="97" t="str">
        <f>VLOOKUP(B13,'supply points'!A6:C23,3,0)</f>
        <v> SWL</v>
      </c>
      <c r="G13" s="12" t="s">
        <v>16</v>
      </c>
      <c r="H13" s="57">
        <v>74.56</v>
      </c>
      <c r="I13" s="57">
        <v>0</v>
      </c>
      <c r="J13" s="57">
        <f t="shared" si="0"/>
        <v>74.56</v>
      </c>
      <c r="K13" s="57">
        <v>3.59</v>
      </c>
      <c r="L13" s="60">
        <f t="shared" si="1"/>
        <v>78.150000000000006</v>
      </c>
      <c r="M13" s="57">
        <v>2.81</v>
      </c>
      <c r="N13" s="57">
        <v>3.7</v>
      </c>
      <c r="O13" s="57">
        <f t="shared" si="2"/>
        <v>84.660000000000011</v>
      </c>
      <c r="P13" s="60">
        <v>15</v>
      </c>
      <c r="Q13" s="81">
        <f t="shared" si="3"/>
        <v>99.660000000000011</v>
      </c>
      <c r="R13" s="57">
        <f t="shared" si="4"/>
        <v>16.942200000000003</v>
      </c>
      <c r="S13" s="59">
        <f t="shared" si="5"/>
        <v>116.60220000000001</v>
      </c>
      <c r="T13" s="57">
        <f t="shared" si="20"/>
        <v>0.44400000000000001</v>
      </c>
      <c r="U13" s="61">
        <f t="shared" ref="U13:U24" si="22">N13*0.05</f>
        <v>0.18500000000000003</v>
      </c>
      <c r="V13" s="61"/>
      <c r="W13" s="66"/>
      <c r="X13" s="61"/>
      <c r="Y13" s="57">
        <f t="shared" si="7"/>
        <v>2.9600000000000005E-2</v>
      </c>
      <c r="Z13" s="63">
        <f t="shared" si="8"/>
        <v>113.56080000000001</v>
      </c>
      <c r="AA13" s="64">
        <f t="shared" si="21"/>
        <v>0.41844999999999999</v>
      </c>
      <c r="AB13" s="65">
        <f t="shared" si="10"/>
        <v>7.1136500000000005E-2</v>
      </c>
      <c r="AC13" s="63">
        <v>0</v>
      </c>
      <c r="AD13" s="63">
        <f t="shared" si="11"/>
        <v>114.0503865</v>
      </c>
      <c r="AE13" s="65">
        <f t="shared" si="12"/>
        <v>117.09178650000001</v>
      </c>
      <c r="AF13" s="34"/>
      <c r="AG13" s="37">
        <f t="shared" si="13"/>
        <v>2.9950000000000001</v>
      </c>
      <c r="AH13" s="46">
        <f t="shared" si="14"/>
        <v>3.0414000000000101</v>
      </c>
      <c r="AI13" s="47">
        <f t="shared" si="15"/>
        <v>0.65860000000000007</v>
      </c>
      <c r="AJ13" s="47">
        <f t="shared" si="16"/>
        <v>117.09178650000001</v>
      </c>
      <c r="AK13" s="47">
        <f t="shared" si="17"/>
        <v>0</v>
      </c>
    </row>
    <row r="14" spans="1:37" s="22" customFormat="1" ht="15" customHeight="1" x14ac:dyDescent="0.2">
      <c r="A14" s="79">
        <f t="shared" ref="A14:A25" si="23">A13+1</f>
        <v>6</v>
      </c>
      <c r="B14" s="3" t="s">
        <v>134</v>
      </c>
      <c r="C14" s="3" t="s">
        <v>33</v>
      </c>
      <c r="D14" s="3" t="s">
        <v>101</v>
      </c>
      <c r="E14" s="4" t="s">
        <v>31</v>
      </c>
      <c r="F14" s="97" t="str">
        <f>VLOOKUP(B14,'supply points'!A7:C24,3,0)</f>
        <v>  SWL</v>
      </c>
      <c r="G14" s="12" t="s">
        <v>13</v>
      </c>
      <c r="H14" s="57">
        <v>74.56</v>
      </c>
      <c r="I14" s="57">
        <v>0</v>
      </c>
      <c r="J14" s="57">
        <f t="shared" si="0"/>
        <v>74.56</v>
      </c>
      <c r="K14" s="57">
        <v>3.59</v>
      </c>
      <c r="L14" s="60">
        <f t="shared" si="1"/>
        <v>78.150000000000006</v>
      </c>
      <c r="M14" s="57">
        <v>2.81</v>
      </c>
      <c r="N14" s="57">
        <v>3.7</v>
      </c>
      <c r="O14" s="57">
        <f t="shared" si="2"/>
        <v>84.660000000000011</v>
      </c>
      <c r="P14" s="60">
        <v>15</v>
      </c>
      <c r="Q14" s="81">
        <f t="shared" si="3"/>
        <v>99.660000000000011</v>
      </c>
      <c r="R14" s="57">
        <f t="shared" si="4"/>
        <v>16.942200000000003</v>
      </c>
      <c r="S14" s="59">
        <f t="shared" si="5"/>
        <v>116.60220000000001</v>
      </c>
      <c r="T14" s="57">
        <f t="shared" si="20"/>
        <v>0.44400000000000001</v>
      </c>
      <c r="U14" s="61">
        <f t="shared" si="22"/>
        <v>0.18500000000000003</v>
      </c>
      <c r="V14" s="61"/>
      <c r="W14" s="66"/>
      <c r="X14" s="61"/>
      <c r="Y14" s="57">
        <f t="shared" si="7"/>
        <v>2.9600000000000005E-2</v>
      </c>
      <c r="Z14" s="63">
        <f t="shared" si="8"/>
        <v>113.56080000000001</v>
      </c>
      <c r="AA14" s="64">
        <f>418.45/1000</f>
        <v>0.41844999999999999</v>
      </c>
      <c r="AB14" s="65">
        <f t="shared" si="10"/>
        <v>7.1136500000000005E-2</v>
      </c>
      <c r="AC14" s="63">
        <v>0</v>
      </c>
      <c r="AD14" s="63">
        <f t="shared" si="11"/>
        <v>114.0503865</v>
      </c>
      <c r="AE14" s="65">
        <f t="shared" si="12"/>
        <v>117.09178650000001</v>
      </c>
      <c r="AF14" s="34"/>
      <c r="AG14" s="37">
        <f t="shared" si="13"/>
        <v>2.9950000000000001</v>
      </c>
      <c r="AH14" s="46">
        <f t="shared" si="14"/>
        <v>3.0414000000000101</v>
      </c>
      <c r="AI14" s="47">
        <f t="shared" si="15"/>
        <v>0.65860000000000007</v>
      </c>
      <c r="AJ14" s="47">
        <f t="shared" si="16"/>
        <v>117.09178650000001</v>
      </c>
      <c r="AK14" s="47">
        <f t="shared" si="17"/>
        <v>0</v>
      </c>
    </row>
    <row r="15" spans="1:37" s="22" customFormat="1" ht="15" customHeight="1" x14ac:dyDescent="0.2">
      <c r="A15" s="79">
        <f t="shared" si="23"/>
        <v>7</v>
      </c>
      <c r="B15" s="38" t="s">
        <v>151</v>
      </c>
      <c r="C15" s="80" t="s">
        <v>40</v>
      </c>
      <c r="D15" s="3" t="s">
        <v>101</v>
      </c>
      <c r="E15" s="4" t="s">
        <v>15</v>
      </c>
      <c r="F15" s="97" t="str">
        <f>VLOOKUP(B15,'supply points'!A8:C25,3,0)</f>
        <v>  SWL</v>
      </c>
      <c r="G15" s="12" t="s">
        <v>25</v>
      </c>
      <c r="H15" s="57">
        <v>74.56</v>
      </c>
      <c r="I15" s="57">
        <v>0</v>
      </c>
      <c r="J15" s="57">
        <f t="shared" si="0"/>
        <v>74.56</v>
      </c>
      <c r="K15" s="57">
        <v>3.59</v>
      </c>
      <c r="L15" s="60">
        <f t="shared" si="1"/>
        <v>78.150000000000006</v>
      </c>
      <c r="M15" s="57">
        <v>2.81</v>
      </c>
      <c r="N15" s="57">
        <v>3.7</v>
      </c>
      <c r="O15" s="57">
        <f t="shared" si="2"/>
        <v>84.660000000000011</v>
      </c>
      <c r="P15" s="60">
        <v>15</v>
      </c>
      <c r="Q15" s="81">
        <f t="shared" si="3"/>
        <v>99.660000000000011</v>
      </c>
      <c r="R15" s="57">
        <f t="shared" si="4"/>
        <v>16.942200000000003</v>
      </c>
      <c r="S15" s="59">
        <f t="shared" si="5"/>
        <v>116.60220000000001</v>
      </c>
      <c r="T15" s="57">
        <f t="shared" si="20"/>
        <v>0.44400000000000001</v>
      </c>
      <c r="U15" s="61">
        <f t="shared" si="22"/>
        <v>0.18500000000000003</v>
      </c>
      <c r="V15" s="61"/>
      <c r="W15" s="66"/>
      <c r="X15" s="61"/>
      <c r="Y15" s="57">
        <f t="shared" si="7"/>
        <v>2.9600000000000005E-2</v>
      </c>
      <c r="Z15" s="63">
        <f t="shared" si="8"/>
        <v>113.56080000000001</v>
      </c>
      <c r="AA15" s="64">
        <f>418.45/1000</f>
        <v>0.41844999999999999</v>
      </c>
      <c r="AB15" s="65">
        <f t="shared" si="10"/>
        <v>7.1136500000000005E-2</v>
      </c>
      <c r="AC15" s="63">
        <v>0</v>
      </c>
      <c r="AD15" s="63">
        <f t="shared" si="11"/>
        <v>114.0503865</v>
      </c>
      <c r="AE15" s="65">
        <f t="shared" si="12"/>
        <v>117.09178650000001</v>
      </c>
      <c r="AF15" s="34"/>
      <c r="AG15" s="37">
        <f t="shared" si="13"/>
        <v>2.9950000000000001</v>
      </c>
      <c r="AH15" s="46">
        <f t="shared" si="14"/>
        <v>3.0414000000000101</v>
      </c>
      <c r="AI15" s="47">
        <f t="shared" si="15"/>
        <v>0.65860000000000007</v>
      </c>
      <c r="AJ15" s="47">
        <f t="shared" si="16"/>
        <v>117.09178650000001</v>
      </c>
      <c r="AK15" s="47">
        <f t="shared" si="17"/>
        <v>0</v>
      </c>
    </row>
    <row r="16" spans="1:37" s="22" customFormat="1" ht="15" customHeight="1" x14ac:dyDescent="0.2">
      <c r="A16" s="79">
        <f t="shared" si="23"/>
        <v>8</v>
      </c>
      <c r="B16" s="3" t="s">
        <v>113</v>
      </c>
      <c r="C16" s="3" t="s">
        <v>114</v>
      </c>
      <c r="D16" s="3" t="s">
        <v>101</v>
      </c>
      <c r="E16" s="4" t="s">
        <v>45</v>
      </c>
      <c r="F16" s="97" t="str">
        <f>VLOOKUP(B16,'supply points'!A9:C26,3,0)</f>
        <v> KND</v>
      </c>
      <c r="G16" s="12" t="s">
        <v>16</v>
      </c>
      <c r="H16" s="57">
        <v>74.56</v>
      </c>
      <c r="I16" s="57">
        <v>0</v>
      </c>
      <c r="J16" s="57">
        <f t="shared" si="0"/>
        <v>74.56</v>
      </c>
      <c r="K16" s="57">
        <v>3.59</v>
      </c>
      <c r="L16" s="60">
        <f t="shared" si="1"/>
        <v>78.150000000000006</v>
      </c>
      <c r="M16" s="57">
        <v>2.81</v>
      </c>
      <c r="N16" s="57">
        <v>3.7</v>
      </c>
      <c r="O16" s="57">
        <f t="shared" si="2"/>
        <v>84.660000000000011</v>
      </c>
      <c r="P16" s="60">
        <v>15</v>
      </c>
      <c r="Q16" s="81">
        <f t="shared" si="3"/>
        <v>99.660000000000011</v>
      </c>
      <c r="R16" s="57">
        <f t="shared" si="4"/>
        <v>16.942200000000003</v>
      </c>
      <c r="S16" s="59">
        <f t="shared" si="5"/>
        <v>116.60220000000001</v>
      </c>
      <c r="T16" s="57">
        <f t="shared" si="20"/>
        <v>0.44400000000000001</v>
      </c>
      <c r="U16" s="61">
        <f t="shared" si="22"/>
        <v>0.18500000000000003</v>
      </c>
      <c r="V16" s="61"/>
      <c r="W16" s="66"/>
      <c r="X16" s="61"/>
      <c r="Y16" s="57">
        <f t="shared" si="7"/>
        <v>2.9600000000000005E-2</v>
      </c>
      <c r="Z16" s="63">
        <f t="shared" si="8"/>
        <v>113.56080000000001</v>
      </c>
      <c r="AA16" s="64">
        <f>418.45/1000</f>
        <v>0.41844999999999999</v>
      </c>
      <c r="AB16" s="65">
        <f t="shared" si="10"/>
        <v>7.1136500000000005E-2</v>
      </c>
      <c r="AC16" s="63">
        <v>0</v>
      </c>
      <c r="AD16" s="63">
        <f t="shared" si="11"/>
        <v>114.0503865</v>
      </c>
      <c r="AE16" s="65">
        <f t="shared" si="12"/>
        <v>117.09178650000001</v>
      </c>
      <c r="AF16" s="34"/>
      <c r="AG16" s="37">
        <f t="shared" si="13"/>
        <v>2.9950000000000001</v>
      </c>
      <c r="AH16" s="46">
        <f t="shared" si="14"/>
        <v>3.0414000000000101</v>
      </c>
      <c r="AI16" s="47">
        <f t="shared" si="15"/>
        <v>0.65860000000000007</v>
      </c>
      <c r="AJ16" s="47">
        <f t="shared" si="16"/>
        <v>117.09178650000001</v>
      </c>
      <c r="AK16" s="47">
        <f t="shared" si="17"/>
        <v>0</v>
      </c>
    </row>
    <row r="17" spans="1:37" s="22" customFormat="1" ht="15" customHeight="1" x14ac:dyDescent="0.2">
      <c r="A17" s="79">
        <f t="shared" si="23"/>
        <v>9</v>
      </c>
      <c r="B17" s="3" t="s">
        <v>122</v>
      </c>
      <c r="C17" s="3" t="s">
        <v>123</v>
      </c>
      <c r="D17" s="3" t="s">
        <v>101</v>
      </c>
      <c r="E17" s="4" t="s">
        <v>15</v>
      </c>
      <c r="F17" s="97" t="str">
        <f>VLOOKUP(B17,'supply points'!A10:C27,3,0)</f>
        <v> CPI</v>
      </c>
      <c r="G17" s="12" t="s">
        <v>16</v>
      </c>
      <c r="H17" s="57">
        <v>74.56</v>
      </c>
      <c r="I17" s="57">
        <v>0</v>
      </c>
      <c r="J17" s="57">
        <f t="shared" si="0"/>
        <v>74.56</v>
      </c>
      <c r="K17" s="57">
        <v>3.59</v>
      </c>
      <c r="L17" s="60">
        <f t="shared" si="1"/>
        <v>78.150000000000006</v>
      </c>
      <c r="M17" s="57">
        <v>2.81</v>
      </c>
      <c r="N17" s="57">
        <v>3.7</v>
      </c>
      <c r="O17" s="57">
        <f t="shared" si="2"/>
        <v>84.660000000000011</v>
      </c>
      <c r="P17" s="60">
        <v>15</v>
      </c>
      <c r="Q17" s="81">
        <f t="shared" si="3"/>
        <v>99.660000000000011</v>
      </c>
      <c r="R17" s="57">
        <f t="shared" si="4"/>
        <v>16.942200000000003</v>
      </c>
      <c r="S17" s="59">
        <f t="shared" si="5"/>
        <v>116.60220000000001</v>
      </c>
      <c r="T17" s="57">
        <f t="shared" si="20"/>
        <v>0.44400000000000001</v>
      </c>
      <c r="U17" s="61">
        <f t="shared" si="22"/>
        <v>0.18500000000000003</v>
      </c>
      <c r="V17" s="61"/>
      <c r="W17" s="66"/>
      <c r="X17" s="61"/>
      <c r="Y17" s="57">
        <f t="shared" si="7"/>
        <v>2.9600000000000005E-2</v>
      </c>
      <c r="Z17" s="63">
        <f t="shared" si="8"/>
        <v>113.56080000000001</v>
      </c>
      <c r="AA17" s="64">
        <f>174*3.0671/1000</f>
        <v>0.53367540000000002</v>
      </c>
      <c r="AB17" s="65">
        <f t="shared" si="10"/>
        <v>9.0724818000000013E-2</v>
      </c>
      <c r="AC17" s="63">
        <v>0</v>
      </c>
      <c r="AD17" s="63">
        <f t="shared" si="11"/>
        <v>114.18520021800002</v>
      </c>
      <c r="AE17" s="65">
        <f t="shared" si="12"/>
        <v>117.22660021800002</v>
      </c>
      <c r="AF17" s="34"/>
      <c r="AG17" s="37">
        <f t="shared" si="13"/>
        <v>2.9950000000000001</v>
      </c>
      <c r="AH17" s="46">
        <f t="shared" si="14"/>
        <v>3.0413999999999959</v>
      </c>
      <c r="AI17" s="47">
        <f t="shared" si="15"/>
        <v>0.65860000000000007</v>
      </c>
      <c r="AJ17" s="47">
        <f t="shared" si="16"/>
        <v>117.22660021800002</v>
      </c>
      <c r="AK17" s="47">
        <f t="shared" si="17"/>
        <v>0</v>
      </c>
    </row>
    <row r="18" spans="1:37" s="22" customFormat="1" ht="15" customHeight="1" x14ac:dyDescent="0.2">
      <c r="A18" s="79">
        <f t="shared" si="23"/>
        <v>10</v>
      </c>
      <c r="B18" s="3" t="s">
        <v>120</v>
      </c>
      <c r="C18" s="3" t="s">
        <v>121</v>
      </c>
      <c r="D18" s="3" t="s">
        <v>101</v>
      </c>
      <c r="E18" s="4" t="s">
        <v>15</v>
      </c>
      <c r="F18" s="97" t="str">
        <f>VLOOKUP(B18,'supply points'!A11:C28,3,0)</f>
        <v>  CPI</v>
      </c>
      <c r="G18" s="12" t="s">
        <v>16</v>
      </c>
      <c r="H18" s="57">
        <v>74.56</v>
      </c>
      <c r="I18" s="57">
        <v>0</v>
      </c>
      <c r="J18" s="57">
        <f t="shared" si="0"/>
        <v>74.56</v>
      </c>
      <c r="K18" s="57">
        <v>3.59</v>
      </c>
      <c r="L18" s="60">
        <f t="shared" si="1"/>
        <v>78.150000000000006</v>
      </c>
      <c r="M18" s="57">
        <v>2.81</v>
      </c>
      <c r="N18" s="57">
        <v>3.7</v>
      </c>
      <c r="O18" s="57">
        <f t="shared" si="2"/>
        <v>84.660000000000011</v>
      </c>
      <c r="P18" s="60">
        <v>15</v>
      </c>
      <c r="Q18" s="81">
        <f t="shared" si="3"/>
        <v>99.660000000000011</v>
      </c>
      <c r="R18" s="57">
        <f t="shared" si="4"/>
        <v>16.942200000000003</v>
      </c>
      <c r="S18" s="59">
        <f t="shared" si="5"/>
        <v>116.60220000000001</v>
      </c>
      <c r="T18" s="57">
        <f t="shared" si="20"/>
        <v>0.44400000000000001</v>
      </c>
      <c r="U18" s="61">
        <f t="shared" si="22"/>
        <v>0.18500000000000003</v>
      </c>
      <c r="V18" s="61"/>
      <c r="W18" s="66"/>
      <c r="X18" s="61"/>
      <c r="Y18" s="57">
        <f t="shared" si="7"/>
        <v>2.9600000000000005E-2</v>
      </c>
      <c r="Z18" s="63">
        <f t="shared" si="8"/>
        <v>113.56080000000001</v>
      </c>
      <c r="AA18" s="64">
        <f>174*3.0671/1000</f>
        <v>0.53367540000000002</v>
      </c>
      <c r="AB18" s="65">
        <f t="shared" si="10"/>
        <v>9.0724818000000013E-2</v>
      </c>
      <c r="AC18" s="63">
        <v>0</v>
      </c>
      <c r="AD18" s="63">
        <f t="shared" si="11"/>
        <v>114.18520021800002</v>
      </c>
      <c r="AE18" s="65">
        <f t="shared" si="12"/>
        <v>117.22660021800002</v>
      </c>
      <c r="AF18" s="34"/>
      <c r="AG18" s="37">
        <f t="shared" si="13"/>
        <v>2.9950000000000001</v>
      </c>
      <c r="AH18" s="46">
        <f t="shared" si="14"/>
        <v>3.0413999999999959</v>
      </c>
      <c r="AI18" s="47">
        <f t="shared" si="15"/>
        <v>0.65860000000000007</v>
      </c>
      <c r="AJ18" s="47">
        <f t="shared" si="16"/>
        <v>117.22660021800002</v>
      </c>
      <c r="AK18" s="47">
        <f t="shared" si="17"/>
        <v>0</v>
      </c>
    </row>
    <row r="19" spans="1:37" s="22" customFormat="1" ht="15" customHeight="1" x14ac:dyDescent="0.2">
      <c r="A19" s="79">
        <f t="shared" si="23"/>
        <v>11</v>
      </c>
      <c r="B19" s="3" t="s">
        <v>118</v>
      </c>
      <c r="C19" s="3" t="s">
        <v>119</v>
      </c>
      <c r="D19" s="3" t="s">
        <v>101</v>
      </c>
      <c r="E19" s="4" t="s">
        <v>51</v>
      </c>
      <c r="F19" s="97" t="str">
        <f>VLOOKUP(B19,'supply points'!A12:C29,3,0)</f>
        <v>  CPI</v>
      </c>
      <c r="G19" s="12" t="s">
        <v>13</v>
      </c>
      <c r="H19" s="57">
        <v>74.56</v>
      </c>
      <c r="I19" s="57">
        <v>0</v>
      </c>
      <c r="J19" s="57">
        <f t="shared" si="0"/>
        <v>74.56</v>
      </c>
      <c r="K19" s="57">
        <v>3.59</v>
      </c>
      <c r="L19" s="60">
        <f t="shared" si="1"/>
        <v>78.150000000000006</v>
      </c>
      <c r="M19" s="57">
        <v>2.81</v>
      </c>
      <c r="N19" s="57">
        <v>3.7</v>
      </c>
      <c r="O19" s="57">
        <f t="shared" si="2"/>
        <v>84.660000000000011</v>
      </c>
      <c r="P19" s="60">
        <v>15</v>
      </c>
      <c r="Q19" s="81">
        <f t="shared" si="3"/>
        <v>99.660000000000011</v>
      </c>
      <c r="R19" s="57">
        <f t="shared" si="4"/>
        <v>16.942200000000003</v>
      </c>
      <c r="S19" s="59">
        <f t="shared" si="5"/>
        <v>116.60220000000001</v>
      </c>
      <c r="T19" s="57">
        <f t="shared" si="20"/>
        <v>0.44400000000000001</v>
      </c>
      <c r="U19" s="61">
        <f t="shared" si="22"/>
        <v>0.18500000000000003</v>
      </c>
      <c r="V19" s="61"/>
      <c r="W19" s="66"/>
      <c r="X19" s="61"/>
      <c r="Y19" s="57">
        <f t="shared" si="7"/>
        <v>2.9600000000000005E-2</v>
      </c>
      <c r="Z19" s="63">
        <f t="shared" si="8"/>
        <v>113.56080000000001</v>
      </c>
      <c r="AA19" s="64">
        <f>418.45/1000</f>
        <v>0.41844999999999999</v>
      </c>
      <c r="AB19" s="65">
        <f t="shared" si="10"/>
        <v>7.1136500000000005E-2</v>
      </c>
      <c r="AC19" s="63">
        <v>0</v>
      </c>
      <c r="AD19" s="63">
        <f t="shared" si="11"/>
        <v>114.0503865</v>
      </c>
      <c r="AE19" s="65">
        <f t="shared" si="12"/>
        <v>117.09178650000001</v>
      </c>
      <c r="AF19" s="34"/>
      <c r="AG19" s="37">
        <f t="shared" si="13"/>
        <v>2.9950000000000001</v>
      </c>
      <c r="AH19" s="46">
        <f t="shared" si="14"/>
        <v>3.0414000000000101</v>
      </c>
      <c r="AI19" s="47">
        <f t="shared" si="15"/>
        <v>0.65860000000000007</v>
      </c>
      <c r="AJ19" s="47">
        <f t="shared" si="16"/>
        <v>117.09178650000001</v>
      </c>
      <c r="AK19" s="47">
        <f t="shared" si="17"/>
        <v>0</v>
      </c>
    </row>
    <row r="20" spans="1:37" s="22" customFormat="1" ht="15" customHeight="1" x14ac:dyDescent="0.2">
      <c r="A20" s="79">
        <f t="shared" si="23"/>
        <v>12</v>
      </c>
      <c r="B20" s="3" t="s">
        <v>148</v>
      </c>
      <c r="C20" s="80" t="s">
        <v>147</v>
      </c>
      <c r="D20" s="3" t="s">
        <v>101</v>
      </c>
      <c r="E20" s="4" t="s">
        <v>152</v>
      </c>
      <c r="F20" s="97" t="str">
        <f>VLOOKUP(B20,'supply points'!A13:C30,3,0)</f>
        <v>  CPI</v>
      </c>
      <c r="G20" s="12" t="s">
        <v>16</v>
      </c>
      <c r="H20" s="57">
        <v>74.56</v>
      </c>
      <c r="I20" s="57">
        <v>0</v>
      </c>
      <c r="J20" s="57">
        <f t="shared" si="0"/>
        <v>74.56</v>
      </c>
      <c r="K20" s="57">
        <v>3.59</v>
      </c>
      <c r="L20" s="60">
        <f t="shared" si="1"/>
        <v>78.150000000000006</v>
      </c>
      <c r="M20" s="57">
        <v>2.81</v>
      </c>
      <c r="N20" s="57">
        <v>3.7</v>
      </c>
      <c r="O20" s="57">
        <f t="shared" si="2"/>
        <v>84.660000000000011</v>
      </c>
      <c r="P20" s="60">
        <v>15</v>
      </c>
      <c r="Q20" s="81">
        <f t="shared" si="3"/>
        <v>99.660000000000011</v>
      </c>
      <c r="R20" s="57">
        <f t="shared" si="4"/>
        <v>16.942200000000003</v>
      </c>
      <c r="S20" s="59">
        <f t="shared" si="5"/>
        <v>116.60220000000001</v>
      </c>
      <c r="T20" s="57">
        <f t="shared" si="20"/>
        <v>0.44400000000000001</v>
      </c>
      <c r="U20" s="61">
        <f t="shared" si="22"/>
        <v>0.18500000000000003</v>
      </c>
      <c r="V20" s="61"/>
      <c r="W20" s="66"/>
      <c r="X20" s="61"/>
      <c r="Y20" s="57">
        <f t="shared" si="7"/>
        <v>2.9600000000000005E-2</v>
      </c>
      <c r="Z20" s="63">
        <f t="shared" si="8"/>
        <v>113.56080000000001</v>
      </c>
      <c r="AA20" s="64">
        <f>418.45/1000</f>
        <v>0.41844999999999999</v>
      </c>
      <c r="AB20" s="65">
        <f t="shared" si="10"/>
        <v>7.1136500000000005E-2</v>
      </c>
      <c r="AC20" s="63">
        <v>0</v>
      </c>
      <c r="AD20" s="63">
        <f t="shared" si="11"/>
        <v>114.0503865</v>
      </c>
      <c r="AE20" s="65">
        <f t="shared" si="12"/>
        <v>117.09178650000001</v>
      </c>
      <c r="AF20" s="34"/>
      <c r="AG20" s="37">
        <f t="shared" si="13"/>
        <v>2.9950000000000001</v>
      </c>
      <c r="AH20" s="46">
        <f t="shared" si="14"/>
        <v>3.0414000000000101</v>
      </c>
      <c r="AI20" s="47">
        <f t="shared" si="15"/>
        <v>0.65860000000000007</v>
      </c>
      <c r="AJ20" s="47">
        <f t="shared" si="16"/>
        <v>117.09178650000001</v>
      </c>
      <c r="AK20" s="47">
        <f t="shared" si="17"/>
        <v>0</v>
      </c>
    </row>
    <row r="21" spans="1:37" s="22" customFormat="1" ht="15" customHeight="1" x14ac:dyDescent="0.2">
      <c r="A21" s="79">
        <f t="shared" si="23"/>
        <v>13</v>
      </c>
      <c r="B21" s="3" t="s">
        <v>117</v>
      </c>
      <c r="C21" s="3" t="s">
        <v>145</v>
      </c>
      <c r="D21" s="3" t="s">
        <v>101</v>
      </c>
      <c r="E21" s="4" t="s">
        <v>62</v>
      </c>
      <c r="F21" s="97" t="str">
        <f>VLOOKUP(B21,'supply points'!A14:C31,3,0)</f>
        <v> SWL</v>
      </c>
      <c r="G21" s="12" t="s">
        <v>13</v>
      </c>
      <c r="H21" s="57">
        <v>74.56</v>
      </c>
      <c r="I21" s="57">
        <v>0</v>
      </c>
      <c r="J21" s="57">
        <f t="shared" si="0"/>
        <v>74.56</v>
      </c>
      <c r="K21" s="57">
        <v>3.59</v>
      </c>
      <c r="L21" s="60">
        <f t="shared" si="1"/>
        <v>78.150000000000006</v>
      </c>
      <c r="M21" s="57">
        <v>2.81</v>
      </c>
      <c r="N21" s="57">
        <v>3.7</v>
      </c>
      <c r="O21" s="57">
        <f t="shared" si="2"/>
        <v>84.660000000000011</v>
      </c>
      <c r="P21" s="60">
        <v>15</v>
      </c>
      <c r="Q21" s="81">
        <f t="shared" si="3"/>
        <v>99.660000000000011</v>
      </c>
      <c r="R21" s="57">
        <f t="shared" si="4"/>
        <v>16.942200000000003</v>
      </c>
      <c r="S21" s="59">
        <f t="shared" si="5"/>
        <v>116.60220000000001</v>
      </c>
      <c r="T21" s="57">
        <f t="shared" si="20"/>
        <v>0.44400000000000001</v>
      </c>
      <c r="U21" s="61">
        <f t="shared" si="22"/>
        <v>0.18500000000000003</v>
      </c>
      <c r="V21" s="61"/>
      <c r="W21" s="66"/>
      <c r="X21" s="61"/>
      <c r="Y21" s="57">
        <f t="shared" si="7"/>
        <v>2.9600000000000005E-2</v>
      </c>
      <c r="Z21" s="63">
        <f t="shared" si="8"/>
        <v>113.56080000000001</v>
      </c>
      <c r="AA21" s="64">
        <f>3.0671/1000*232</f>
        <v>0.71156720000000007</v>
      </c>
      <c r="AB21" s="65">
        <f t="shared" si="10"/>
        <v>0.12096642400000002</v>
      </c>
      <c r="AC21" s="63">
        <v>0</v>
      </c>
      <c r="AD21" s="63">
        <f t="shared" si="11"/>
        <v>114.39333362400002</v>
      </c>
      <c r="AE21" s="65">
        <f t="shared" si="12"/>
        <v>117.43473362400002</v>
      </c>
      <c r="AF21" s="89">
        <v>146</v>
      </c>
      <c r="AG21" s="37">
        <f t="shared" si="13"/>
        <v>2.9950000000000001</v>
      </c>
      <c r="AH21" s="46">
        <f t="shared" si="14"/>
        <v>3.0413999999999959</v>
      </c>
      <c r="AI21" s="47">
        <f t="shared" si="15"/>
        <v>0.65860000000000007</v>
      </c>
      <c r="AJ21" s="47">
        <f t="shared" si="16"/>
        <v>117.43473362400002</v>
      </c>
      <c r="AK21" s="47">
        <f t="shared" si="17"/>
        <v>0</v>
      </c>
    </row>
    <row r="22" spans="1:37" s="22" customFormat="1" ht="15" x14ac:dyDescent="0.2">
      <c r="A22" s="79">
        <f t="shared" si="23"/>
        <v>14</v>
      </c>
      <c r="B22" s="3" t="s">
        <v>116</v>
      </c>
      <c r="C22" s="3" t="s">
        <v>115</v>
      </c>
      <c r="D22" s="3" t="s">
        <v>101</v>
      </c>
      <c r="E22" s="4" t="s">
        <v>31</v>
      </c>
      <c r="F22" s="97" t="str">
        <f>VLOOKUP(B22,'supply points'!A15:C32,3,0)</f>
        <v> SWL</v>
      </c>
      <c r="G22" s="12" t="s">
        <v>16</v>
      </c>
      <c r="H22" s="57">
        <v>74.56</v>
      </c>
      <c r="I22" s="57">
        <v>0</v>
      </c>
      <c r="J22" s="57">
        <f t="shared" si="0"/>
        <v>74.56</v>
      </c>
      <c r="K22" s="57">
        <v>3.59</v>
      </c>
      <c r="L22" s="60">
        <f t="shared" si="1"/>
        <v>78.150000000000006</v>
      </c>
      <c r="M22" s="57">
        <v>2.81</v>
      </c>
      <c r="N22" s="57">
        <v>3.7</v>
      </c>
      <c r="O22" s="57">
        <f t="shared" si="2"/>
        <v>84.660000000000011</v>
      </c>
      <c r="P22" s="60">
        <v>15</v>
      </c>
      <c r="Q22" s="81">
        <f t="shared" si="3"/>
        <v>99.660000000000011</v>
      </c>
      <c r="R22" s="57">
        <f t="shared" si="4"/>
        <v>16.942200000000003</v>
      </c>
      <c r="S22" s="59">
        <f t="shared" si="5"/>
        <v>116.60220000000001</v>
      </c>
      <c r="T22" s="57">
        <f t="shared" si="20"/>
        <v>0.44400000000000001</v>
      </c>
      <c r="U22" s="61">
        <f t="shared" si="22"/>
        <v>0.18500000000000003</v>
      </c>
      <c r="V22" s="69"/>
      <c r="W22" s="69"/>
      <c r="X22" s="69"/>
      <c r="Y22" s="57">
        <f t="shared" si="7"/>
        <v>2.9600000000000005E-2</v>
      </c>
      <c r="Z22" s="65">
        <f t="shared" si="8"/>
        <v>113.56080000000001</v>
      </c>
      <c r="AA22" s="64">
        <f>3.0671/1000*150</f>
        <v>0.460065</v>
      </c>
      <c r="AB22" s="65">
        <f t="shared" si="10"/>
        <v>7.8211050000000004E-2</v>
      </c>
      <c r="AC22" s="65">
        <v>0</v>
      </c>
      <c r="AD22" s="65">
        <f t="shared" si="11"/>
        <v>114.09907605000001</v>
      </c>
      <c r="AE22" s="65">
        <f t="shared" si="12"/>
        <v>117.14047605</v>
      </c>
      <c r="AF22" s="34"/>
      <c r="AG22" s="37">
        <f t="shared" si="13"/>
        <v>2.9950000000000001</v>
      </c>
      <c r="AH22" s="46">
        <f t="shared" si="14"/>
        <v>3.0413999999999959</v>
      </c>
      <c r="AI22" s="47">
        <f t="shared" si="15"/>
        <v>0.65860000000000007</v>
      </c>
      <c r="AJ22" s="47">
        <f t="shared" si="16"/>
        <v>117.14047605</v>
      </c>
      <c r="AK22" s="47">
        <f t="shared" si="17"/>
        <v>0</v>
      </c>
    </row>
    <row r="23" spans="1:37" s="51" customFormat="1" ht="15" x14ac:dyDescent="0.2">
      <c r="A23" s="79">
        <f t="shared" si="23"/>
        <v>15</v>
      </c>
      <c r="B23" s="3" t="s">
        <v>135</v>
      </c>
      <c r="C23" s="3" t="s">
        <v>144</v>
      </c>
      <c r="D23" s="3" t="s">
        <v>101</v>
      </c>
      <c r="E23" s="48" t="s">
        <v>9</v>
      </c>
      <c r="F23" s="97" t="str">
        <f>VLOOKUP(B23,'supply points'!A16:C33,3,0)</f>
        <v> MCH</v>
      </c>
      <c r="G23" s="49" t="s">
        <v>10</v>
      </c>
      <c r="H23" s="70">
        <v>74.56</v>
      </c>
      <c r="I23" s="70">
        <v>0</v>
      </c>
      <c r="J23" s="70">
        <f t="shared" si="0"/>
        <v>74.56</v>
      </c>
      <c r="K23" s="70">
        <v>3.59</v>
      </c>
      <c r="L23" s="71">
        <f t="shared" si="1"/>
        <v>78.150000000000006</v>
      </c>
      <c r="M23" s="70">
        <v>2.81</v>
      </c>
      <c r="N23" s="70">
        <v>3.7</v>
      </c>
      <c r="O23" s="70">
        <f t="shared" si="2"/>
        <v>84.660000000000011</v>
      </c>
      <c r="P23" s="71">
        <v>15</v>
      </c>
      <c r="Q23" s="81">
        <f t="shared" si="3"/>
        <v>99.660000000000011</v>
      </c>
      <c r="R23" s="70">
        <f t="shared" si="4"/>
        <v>16.942200000000003</v>
      </c>
      <c r="S23" s="72">
        <f t="shared" si="5"/>
        <v>116.60220000000001</v>
      </c>
      <c r="T23" s="57">
        <f t="shared" si="20"/>
        <v>0.44400000000000001</v>
      </c>
      <c r="U23" s="56">
        <f>N23*0.08</f>
        <v>0.29600000000000004</v>
      </c>
      <c r="V23" s="56">
        <v>0.06</v>
      </c>
      <c r="W23" s="56">
        <v>0.02</v>
      </c>
      <c r="X23" s="73"/>
      <c r="Y23" s="70">
        <f t="shared" si="7"/>
        <v>6.0160000000000012E-2</v>
      </c>
      <c r="Z23" s="55">
        <f t="shared" si="8"/>
        <v>113.78236000000001</v>
      </c>
      <c r="AA23" s="54">
        <f>3.0671/1000*146</f>
        <v>0.44779660000000004</v>
      </c>
      <c r="AB23" s="55">
        <f t="shared" si="10"/>
        <v>7.6125422000000012E-2</v>
      </c>
      <c r="AC23" s="55">
        <v>0</v>
      </c>
      <c r="AD23" s="55">
        <f t="shared" si="11"/>
        <v>114.30628202200002</v>
      </c>
      <c r="AE23" s="55">
        <f t="shared" si="12"/>
        <v>117.12612202200002</v>
      </c>
      <c r="AF23" s="51">
        <f>114.32</f>
        <v>114.32</v>
      </c>
      <c r="AG23" s="50">
        <f t="shared" si="13"/>
        <v>3.1859999999999999</v>
      </c>
      <c r="AH23" s="52">
        <f t="shared" si="14"/>
        <v>2.8198399999999992</v>
      </c>
      <c r="AI23" s="53">
        <f t="shared" si="15"/>
        <v>0.82016</v>
      </c>
      <c r="AJ23" s="53">
        <f t="shared" si="16"/>
        <v>117.12612202200002</v>
      </c>
      <c r="AK23" s="47">
        <f t="shared" si="17"/>
        <v>0</v>
      </c>
    </row>
    <row r="24" spans="1:37" s="22" customFormat="1" ht="15" x14ac:dyDescent="0.2">
      <c r="A24" s="79">
        <f t="shared" si="23"/>
        <v>16</v>
      </c>
      <c r="B24" s="3" t="s">
        <v>136</v>
      </c>
      <c r="C24" s="3" t="s">
        <v>133</v>
      </c>
      <c r="D24" s="3" t="s">
        <v>101</v>
      </c>
      <c r="E24" s="4" t="s">
        <v>12</v>
      </c>
      <c r="F24" s="97" t="str">
        <f>VLOOKUP(B24,'supply points'!A17:C34,3,0)</f>
        <v>CPI</v>
      </c>
      <c r="G24" s="12" t="s">
        <v>16</v>
      </c>
      <c r="H24" s="57">
        <v>74.56</v>
      </c>
      <c r="I24" s="57">
        <v>0</v>
      </c>
      <c r="J24" s="57">
        <f t="shared" si="0"/>
        <v>74.56</v>
      </c>
      <c r="K24" s="57">
        <v>3.59</v>
      </c>
      <c r="L24" s="60">
        <f t="shared" si="1"/>
        <v>78.150000000000006</v>
      </c>
      <c r="M24" s="57">
        <v>2.81</v>
      </c>
      <c r="N24" s="57">
        <v>3.7</v>
      </c>
      <c r="O24" s="57">
        <f t="shared" si="2"/>
        <v>84.660000000000011</v>
      </c>
      <c r="P24" s="60">
        <v>15</v>
      </c>
      <c r="Q24" s="81">
        <f t="shared" si="3"/>
        <v>99.660000000000011</v>
      </c>
      <c r="R24" s="57">
        <f t="shared" si="4"/>
        <v>16.942200000000003</v>
      </c>
      <c r="S24" s="59">
        <f t="shared" si="5"/>
        <v>116.60220000000001</v>
      </c>
      <c r="T24" s="57">
        <f t="shared" si="20"/>
        <v>0.44400000000000001</v>
      </c>
      <c r="U24" s="61">
        <f t="shared" si="22"/>
        <v>0.18500000000000003</v>
      </c>
      <c r="V24" s="69"/>
      <c r="W24" s="61">
        <v>0.04</v>
      </c>
      <c r="X24" s="69"/>
      <c r="Y24" s="57">
        <f t="shared" si="7"/>
        <v>3.6000000000000004E-2</v>
      </c>
      <c r="Z24" s="65">
        <f t="shared" si="8"/>
        <v>113.60720000000002</v>
      </c>
      <c r="AA24" s="64">
        <f>3.0671/1000*270</f>
        <v>0.82811699999999999</v>
      </c>
      <c r="AB24" s="65">
        <f t="shared" si="10"/>
        <v>0.14077989000000002</v>
      </c>
      <c r="AC24" s="65">
        <v>0</v>
      </c>
      <c r="AD24" s="65">
        <f t="shared" si="11"/>
        <v>114.57609689000003</v>
      </c>
      <c r="AE24" s="65">
        <f t="shared" si="12"/>
        <v>117.57109689000002</v>
      </c>
      <c r="AF24" s="78">
        <f>AF23-AD23</f>
        <v>1.3717977999974096E-2</v>
      </c>
      <c r="AG24" s="37">
        <f t="shared" si="13"/>
        <v>3.0350000000000001</v>
      </c>
      <c r="AH24" s="46">
        <f t="shared" si="14"/>
        <v>2.9949999999999903</v>
      </c>
      <c r="AI24" s="47">
        <f t="shared" si="15"/>
        <v>0.70500000000000007</v>
      </c>
      <c r="AJ24" s="47">
        <f t="shared" si="16"/>
        <v>117.57109689000002</v>
      </c>
      <c r="AK24" s="47">
        <f t="shared" si="17"/>
        <v>0</v>
      </c>
    </row>
    <row r="25" spans="1:37" ht="15" x14ac:dyDescent="0.2">
      <c r="A25" s="79">
        <f t="shared" si="23"/>
        <v>17</v>
      </c>
      <c r="B25" s="3" t="s">
        <v>150</v>
      </c>
      <c r="C25" s="80" t="s">
        <v>149</v>
      </c>
      <c r="D25" s="3" t="s">
        <v>155</v>
      </c>
      <c r="E25" s="4" t="s">
        <v>153</v>
      </c>
      <c r="F25" s="97" t="str">
        <f>VLOOKUP(B25,'supply points'!A18:C35,3,0)</f>
        <v> CPI</v>
      </c>
      <c r="G25" s="12" t="s">
        <v>13</v>
      </c>
      <c r="H25" s="57">
        <v>74.56</v>
      </c>
      <c r="I25" s="57">
        <v>0</v>
      </c>
      <c r="J25" s="57">
        <f t="shared" si="0"/>
        <v>74.56</v>
      </c>
      <c r="K25" s="57">
        <v>3.59</v>
      </c>
      <c r="L25" s="60">
        <f t="shared" si="1"/>
        <v>78.150000000000006</v>
      </c>
      <c r="M25" s="57">
        <v>2.81</v>
      </c>
      <c r="N25" s="57">
        <v>3.7</v>
      </c>
      <c r="O25" s="57">
        <f t="shared" si="2"/>
        <v>84.660000000000011</v>
      </c>
      <c r="P25" s="60">
        <v>15</v>
      </c>
      <c r="Q25" s="81">
        <f t="shared" si="3"/>
        <v>99.660000000000011</v>
      </c>
      <c r="R25" s="57">
        <f t="shared" si="4"/>
        <v>16.942200000000003</v>
      </c>
      <c r="S25" s="59">
        <f t="shared" si="5"/>
        <v>116.60220000000001</v>
      </c>
      <c r="T25" s="57">
        <f>N25*0.24</f>
        <v>0.88800000000000001</v>
      </c>
      <c r="U25" s="61">
        <f>N25*0.05</f>
        <v>0.18500000000000003</v>
      </c>
      <c r="V25" s="69"/>
      <c r="W25" s="69"/>
      <c r="X25" s="69"/>
      <c r="Y25" s="57">
        <f t="shared" si="7"/>
        <v>2.9600000000000005E-2</v>
      </c>
      <c r="Z25" s="65">
        <f t="shared" si="8"/>
        <v>114.00480000000002</v>
      </c>
      <c r="AA25" s="64">
        <f>170*3.0671/1000</f>
        <v>0.52140700000000006</v>
      </c>
      <c r="AB25" s="65">
        <f t="shared" si="10"/>
        <v>8.863919000000002E-2</v>
      </c>
      <c r="AC25" s="65">
        <v>0</v>
      </c>
      <c r="AD25" s="65">
        <f t="shared" si="11"/>
        <v>114.61484619000001</v>
      </c>
      <c r="AE25" s="65">
        <f t="shared" si="12"/>
        <v>117.21224619</v>
      </c>
      <c r="AF25" s="22">
        <f>114.3063</f>
        <v>114.30629999999999</v>
      </c>
      <c r="AG25" s="37">
        <f t="shared" si="13"/>
        <v>2.9950000000000001</v>
      </c>
      <c r="AH25" s="46">
        <f t="shared" si="14"/>
        <v>2.5973999999999933</v>
      </c>
      <c r="AI25" s="47">
        <f t="shared" si="15"/>
        <v>1.1026</v>
      </c>
      <c r="AJ25" s="47">
        <f t="shared" si="16"/>
        <v>117.21224619</v>
      </c>
      <c r="AK25" s="47">
        <f t="shared" si="17"/>
        <v>0</v>
      </c>
    </row>
    <row r="26" spans="1:37" ht="15" x14ac:dyDescent="0.15">
      <c r="A26" s="98">
        <v>18</v>
      </c>
      <c r="B26" s="75"/>
      <c r="C26" s="75" t="s">
        <v>137</v>
      </c>
      <c r="D26" s="75"/>
      <c r="E26" s="75" t="s">
        <v>9</v>
      </c>
      <c r="F26" s="75"/>
      <c r="G26" s="75" t="s">
        <v>10</v>
      </c>
      <c r="H26" s="83">
        <v>74.56</v>
      </c>
      <c r="I26" s="83">
        <v>0</v>
      </c>
      <c r="J26" s="83">
        <v>74.56</v>
      </c>
      <c r="K26" s="83">
        <v>3.59</v>
      </c>
      <c r="L26" s="83">
        <v>78.150000000000006</v>
      </c>
      <c r="M26" s="83">
        <v>2.81</v>
      </c>
      <c r="N26" s="83">
        <v>3.7</v>
      </c>
      <c r="O26" s="83">
        <v>84.660000000000011</v>
      </c>
      <c r="P26" s="83">
        <v>15</v>
      </c>
      <c r="Q26" s="83">
        <v>99.660000000000011</v>
      </c>
      <c r="R26" s="83">
        <v>16.942200000000003</v>
      </c>
      <c r="S26" s="83">
        <v>116.60220000000001</v>
      </c>
      <c r="T26" s="83">
        <v>0.44400000000000001</v>
      </c>
      <c r="U26" s="83">
        <v>0.88800000000000001</v>
      </c>
      <c r="V26" s="83">
        <v>0.33300000000000002</v>
      </c>
      <c r="W26" s="83"/>
      <c r="X26" s="83">
        <v>0.03</v>
      </c>
      <c r="Y26" s="57"/>
      <c r="Z26" s="83">
        <v>5.808E-2</v>
      </c>
      <c r="AA26" s="83">
        <v>113.76728000000001</v>
      </c>
      <c r="AB26" s="83">
        <v>114.21128000000002</v>
      </c>
      <c r="AC26" s="83">
        <v>0.41844999999999999</v>
      </c>
      <c r="AD26" s="83">
        <v>7.1136500000000005E-2</v>
      </c>
      <c r="AE26" s="83">
        <v>0</v>
      </c>
      <c r="AF26" s="91">
        <v>114.2568665</v>
      </c>
      <c r="AG26" s="22">
        <v>114.70086650000002</v>
      </c>
      <c r="AH26">
        <v>117.09178650000001</v>
      </c>
    </row>
    <row r="27" spans="1:37" x14ac:dyDescent="0.15">
      <c r="A27" s="98">
        <v>19</v>
      </c>
      <c r="B27" s="75"/>
      <c r="C27" s="75" t="s">
        <v>22</v>
      </c>
      <c r="D27" s="75"/>
      <c r="E27" s="75" t="s">
        <v>18</v>
      </c>
      <c r="F27" s="75"/>
      <c r="G27" s="75" t="s">
        <v>13</v>
      </c>
      <c r="H27" s="83">
        <v>74.56</v>
      </c>
      <c r="I27" s="83">
        <v>0</v>
      </c>
      <c r="J27" s="83">
        <v>74.56</v>
      </c>
      <c r="K27" s="83">
        <v>3.59</v>
      </c>
      <c r="L27" s="83">
        <v>78.150000000000006</v>
      </c>
      <c r="M27" s="83">
        <v>2.81</v>
      </c>
      <c r="N27" s="83">
        <v>3.7</v>
      </c>
      <c r="O27" s="83">
        <v>84.660000000000011</v>
      </c>
      <c r="P27" s="83">
        <v>15</v>
      </c>
      <c r="Q27" s="83">
        <v>99.660000000000011</v>
      </c>
      <c r="R27" s="83">
        <v>16.942200000000003</v>
      </c>
      <c r="S27" s="83">
        <v>116.60220000000001</v>
      </c>
      <c r="T27" s="83">
        <v>0.44400000000000001</v>
      </c>
      <c r="U27" s="83">
        <v>0.88800000000000001</v>
      </c>
      <c r="V27" s="83">
        <v>0.18500000000000003</v>
      </c>
      <c r="W27" s="83"/>
      <c r="X27" s="83"/>
      <c r="Y27" s="83"/>
      <c r="Z27" s="83">
        <v>2.9600000000000005E-2</v>
      </c>
      <c r="AA27" s="83">
        <v>113.56080000000001</v>
      </c>
      <c r="AB27" s="83">
        <v>114.00480000000002</v>
      </c>
      <c r="AC27" s="83">
        <v>0.55207799999999996</v>
      </c>
      <c r="AD27" s="83">
        <v>9.3853259999999994E-2</v>
      </c>
      <c r="AE27" s="83">
        <v>0</v>
      </c>
      <c r="AF27" s="22">
        <v>114.20673126000001</v>
      </c>
      <c r="AG27" s="22">
        <v>114.65073126000001</v>
      </c>
      <c r="AH27">
        <v>117.24813126000001</v>
      </c>
    </row>
    <row r="28" spans="1:37" x14ac:dyDescent="0.15">
      <c r="A28" s="98">
        <v>20</v>
      </c>
      <c r="B28" s="75"/>
      <c r="C28" s="75" t="s">
        <v>23</v>
      </c>
      <c r="D28" s="75"/>
      <c r="E28" s="75" t="s">
        <v>24</v>
      </c>
      <c r="F28" s="75"/>
      <c r="G28" s="75" t="s">
        <v>25</v>
      </c>
      <c r="H28" s="83">
        <v>74.56</v>
      </c>
      <c r="I28" s="83">
        <v>0</v>
      </c>
      <c r="J28" s="83">
        <v>74.56</v>
      </c>
      <c r="K28" s="83">
        <v>3.59</v>
      </c>
      <c r="L28" s="83">
        <v>78.150000000000006</v>
      </c>
      <c r="M28" s="83">
        <v>2.81</v>
      </c>
      <c r="N28" s="83">
        <v>3.7</v>
      </c>
      <c r="O28" s="83">
        <v>84.660000000000011</v>
      </c>
      <c r="P28" s="83">
        <v>15</v>
      </c>
      <c r="Q28" s="83">
        <v>99.660000000000011</v>
      </c>
      <c r="R28" s="83">
        <v>16.942200000000003</v>
      </c>
      <c r="S28" s="83">
        <v>116.60220000000001</v>
      </c>
      <c r="T28" s="83">
        <v>0.44400000000000001</v>
      </c>
      <c r="U28" s="83">
        <v>0.88800000000000001</v>
      </c>
      <c r="V28" s="83">
        <v>0.18500000000000003</v>
      </c>
      <c r="W28" s="83"/>
      <c r="X28" s="83"/>
      <c r="Y28" s="83"/>
      <c r="Z28" s="83">
        <v>2.9600000000000005E-2</v>
      </c>
      <c r="AA28" s="83">
        <v>113.56080000000001</v>
      </c>
      <c r="AB28" s="83">
        <v>114.00480000000002</v>
      </c>
      <c r="AC28" s="83">
        <v>0.41844999999999999</v>
      </c>
      <c r="AD28" s="83">
        <v>7.1136500000000005E-2</v>
      </c>
      <c r="AE28" s="83">
        <v>0</v>
      </c>
      <c r="AF28" s="90">
        <v>114.0503865</v>
      </c>
      <c r="AG28" s="22">
        <v>114.49438650000002</v>
      </c>
      <c r="AH28">
        <v>117.09178650000001</v>
      </c>
    </row>
    <row r="29" spans="1:37" x14ac:dyDescent="0.15">
      <c r="A29" s="98">
        <v>21</v>
      </c>
      <c r="B29" s="75"/>
      <c r="C29" s="75" t="s">
        <v>26</v>
      </c>
      <c r="D29" s="75"/>
      <c r="E29" s="75" t="s">
        <v>27</v>
      </c>
      <c r="F29" s="75"/>
      <c r="G29" s="75" t="s">
        <v>13</v>
      </c>
      <c r="H29" s="83">
        <v>74.56</v>
      </c>
      <c r="I29" s="83">
        <v>0</v>
      </c>
      <c r="J29" s="83">
        <v>74.56</v>
      </c>
      <c r="K29" s="83">
        <v>3.59</v>
      </c>
      <c r="L29" s="83">
        <v>78.150000000000006</v>
      </c>
      <c r="M29" s="83">
        <v>2.81</v>
      </c>
      <c r="N29" s="83">
        <v>3.7</v>
      </c>
      <c r="O29" s="83">
        <v>84.660000000000011</v>
      </c>
      <c r="P29" s="83">
        <v>15</v>
      </c>
      <c r="Q29" s="83">
        <v>99.660000000000011</v>
      </c>
      <c r="R29" s="83">
        <v>16.942200000000003</v>
      </c>
      <c r="S29" s="83">
        <v>116.60220000000001</v>
      </c>
      <c r="T29" s="83">
        <v>0.44400000000000001</v>
      </c>
      <c r="U29" s="83">
        <v>0.88800000000000001</v>
      </c>
      <c r="V29" s="83">
        <v>0.18500000000000003</v>
      </c>
      <c r="W29" s="83"/>
      <c r="X29" s="83"/>
      <c r="Y29" s="83"/>
      <c r="Z29" s="83">
        <v>2.9600000000000005E-2</v>
      </c>
      <c r="AA29" s="83">
        <v>113.56080000000001</v>
      </c>
      <c r="AB29" s="83">
        <v>114.00480000000002</v>
      </c>
      <c r="AC29" s="83">
        <v>0.858788</v>
      </c>
      <c r="AD29" s="83">
        <v>0.14599396000000001</v>
      </c>
      <c r="AE29" s="83">
        <v>0</v>
      </c>
      <c r="AF29" s="22">
        <v>114.56558196000002</v>
      </c>
      <c r="AG29" s="22">
        <v>115.00958196000002</v>
      </c>
      <c r="AH29">
        <v>117.60698196000001</v>
      </c>
    </row>
    <row r="30" spans="1:37" x14ac:dyDescent="0.15">
      <c r="A30" s="98">
        <v>22</v>
      </c>
      <c r="B30" s="75"/>
      <c r="C30" s="75" t="s">
        <v>28</v>
      </c>
      <c r="D30" s="75"/>
      <c r="E30" s="75" t="s">
        <v>9</v>
      </c>
      <c r="F30" s="75"/>
      <c r="G30" s="75" t="s">
        <v>10</v>
      </c>
      <c r="H30" s="83">
        <v>74.56</v>
      </c>
      <c r="I30" s="83">
        <v>0</v>
      </c>
      <c r="J30" s="83">
        <v>74.56</v>
      </c>
      <c r="K30" s="83">
        <v>3.59</v>
      </c>
      <c r="L30" s="83">
        <v>78.150000000000006</v>
      </c>
      <c r="M30" s="83">
        <v>2.81</v>
      </c>
      <c r="N30" s="83">
        <v>3.7</v>
      </c>
      <c r="O30" s="83">
        <v>84.660000000000011</v>
      </c>
      <c r="P30" s="83">
        <v>15</v>
      </c>
      <c r="Q30" s="83">
        <v>99.660000000000011</v>
      </c>
      <c r="R30" s="83">
        <v>16.942200000000003</v>
      </c>
      <c r="S30" s="83">
        <v>116.60220000000001</v>
      </c>
      <c r="T30" s="83">
        <v>0.44400000000000001</v>
      </c>
      <c r="U30" s="83">
        <v>0.88800000000000001</v>
      </c>
      <c r="V30" s="83">
        <v>0.33300000000000002</v>
      </c>
      <c r="W30" s="83">
        <v>0.06</v>
      </c>
      <c r="X30" s="83">
        <v>0.02</v>
      </c>
      <c r="Y30" s="83">
        <v>0.03</v>
      </c>
      <c r="Z30" s="83">
        <v>7.0880000000000012E-2</v>
      </c>
      <c r="AA30" s="83">
        <v>113.86008000000001</v>
      </c>
      <c r="AB30" s="83">
        <v>114.30408000000001</v>
      </c>
      <c r="AC30" s="83">
        <v>0.41473000000000004</v>
      </c>
      <c r="AD30" s="83">
        <v>7.0504100000000014E-2</v>
      </c>
      <c r="AE30" s="83">
        <v>0</v>
      </c>
      <c r="AF30" s="22">
        <v>114.34531410000001</v>
      </c>
      <c r="AG30" s="22">
        <v>114.78931410000001</v>
      </c>
      <c r="AH30">
        <v>117.08743410000001</v>
      </c>
    </row>
    <row r="31" spans="1:37" x14ac:dyDescent="0.15">
      <c r="A31" s="98">
        <v>23</v>
      </c>
      <c r="B31" s="75"/>
      <c r="C31" s="75" t="s">
        <v>29</v>
      </c>
      <c r="D31" s="75"/>
      <c r="E31" s="75" t="s">
        <v>9</v>
      </c>
      <c r="F31" s="75"/>
      <c r="G31" s="75" t="s">
        <v>16</v>
      </c>
      <c r="H31" s="83">
        <v>74.56</v>
      </c>
      <c r="I31" s="83">
        <v>0</v>
      </c>
      <c r="J31" s="83">
        <v>74.56</v>
      </c>
      <c r="K31" s="83">
        <v>3.59</v>
      </c>
      <c r="L31" s="83">
        <v>78.150000000000006</v>
      </c>
      <c r="M31" s="83">
        <v>2.81</v>
      </c>
      <c r="N31" s="83">
        <v>3.7</v>
      </c>
      <c r="O31" s="83">
        <v>84.660000000000011</v>
      </c>
      <c r="P31" s="83">
        <v>15</v>
      </c>
      <c r="Q31" s="83">
        <v>99.660000000000011</v>
      </c>
      <c r="R31" s="83">
        <v>16.942200000000003</v>
      </c>
      <c r="S31" s="83">
        <v>116.60220000000001</v>
      </c>
      <c r="T31" s="83">
        <v>0.44400000000000001</v>
      </c>
      <c r="U31" s="83">
        <v>0.88800000000000001</v>
      </c>
      <c r="V31" s="83">
        <v>0.18500000000000003</v>
      </c>
      <c r="W31" s="83"/>
      <c r="X31" s="83"/>
      <c r="Y31" s="83"/>
      <c r="Z31" s="83">
        <v>2.9600000000000005E-2</v>
      </c>
      <c r="AA31" s="83">
        <v>113.56080000000001</v>
      </c>
      <c r="AB31" s="83">
        <v>114.00480000000002</v>
      </c>
      <c r="AC31" s="83">
        <v>0.58274900000000007</v>
      </c>
      <c r="AD31" s="83">
        <v>9.9067330000000023E-2</v>
      </c>
      <c r="AE31" s="83">
        <v>0</v>
      </c>
      <c r="AF31" s="22">
        <v>114.24261633000002</v>
      </c>
      <c r="AG31" s="22">
        <v>114.68661633000002</v>
      </c>
      <c r="AH31">
        <v>117.28401633000001</v>
      </c>
    </row>
    <row r="32" spans="1:37" x14ac:dyDescent="0.15">
      <c r="A32" s="98">
        <v>24</v>
      </c>
      <c r="B32" s="75"/>
      <c r="C32" s="75" t="s">
        <v>32</v>
      </c>
      <c r="D32" s="75"/>
      <c r="E32" s="75" t="s">
        <v>31</v>
      </c>
      <c r="F32" s="75"/>
      <c r="G32" s="75" t="s">
        <v>16</v>
      </c>
      <c r="H32" s="83">
        <v>74.56</v>
      </c>
      <c r="I32" s="83">
        <v>0</v>
      </c>
      <c r="J32" s="83">
        <v>74.56</v>
      </c>
      <c r="K32" s="83">
        <v>3.59</v>
      </c>
      <c r="L32" s="83">
        <v>78.150000000000006</v>
      </c>
      <c r="M32" s="83">
        <v>2.81</v>
      </c>
      <c r="N32" s="83">
        <v>3.7</v>
      </c>
      <c r="O32" s="83">
        <v>84.660000000000011</v>
      </c>
      <c r="P32" s="83">
        <v>15</v>
      </c>
      <c r="Q32" s="83">
        <v>99.660000000000011</v>
      </c>
      <c r="R32" s="83">
        <v>16.942200000000003</v>
      </c>
      <c r="S32" s="83">
        <v>116.60220000000001</v>
      </c>
      <c r="T32" s="83">
        <v>0.44400000000000001</v>
      </c>
      <c r="U32" s="83">
        <v>0.88800000000000001</v>
      </c>
      <c r="V32" s="83">
        <v>0.18500000000000003</v>
      </c>
      <c r="W32" s="83"/>
      <c r="X32" s="83"/>
      <c r="Y32" s="83"/>
      <c r="Z32" s="83">
        <v>2.9600000000000005E-2</v>
      </c>
      <c r="AA32" s="83">
        <v>113.56080000000001</v>
      </c>
      <c r="AB32" s="83">
        <v>114.00480000000002</v>
      </c>
      <c r="AC32" s="83">
        <v>0.41844999999999999</v>
      </c>
      <c r="AD32" s="83">
        <v>7.1136500000000005E-2</v>
      </c>
      <c r="AE32" s="83">
        <v>0</v>
      </c>
      <c r="AF32" s="22">
        <v>114.0503865</v>
      </c>
      <c r="AG32" s="22">
        <v>114.49438650000002</v>
      </c>
      <c r="AH32">
        <v>117.09178650000001</v>
      </c>
    </row>
    <row r="33" spans="1:34" x14ac:dyDescent="0.15">
      <c r="A33" s="98">
        <v>25</v>
      </c>
      <c r="B33" s="75"/>
      <c r="C33" s="75" t="s">
        <v>34</v>
      </c>
      <c r="D33" s="75"/>
      <c r="E33" s="75" t="s">
        <v>35</v>
      </c>
      <c r="F33" s="75"/>
      <c r="G33" s="75" t="s">
        <v>13</v>
      </c>
      <c r="H33" s="83">
        <v>74.56</v>
      </c>
      <c r="I33" s="83">
        <v>0</v>
      </c>
      <c r="J33" s="83">
        <v>74.56</v>
      </c>
      <c r="K33" s="83">
        <v>3.59</v>
      </c>
      <c r="L33" s="83">
        <v>78.150000000000006</v>
      </c>
      <c r="M33" s="83">
        <v>2.81</v>
      </c>
      <c r="N33" s="83">
        <v>3.7</v>
      </c>
      <c r="O33" s="83">
        <v>84.660000000000011</v>
      </c>
      <c r="P33" s="83">
        <v>15</v>
      </c>
      <c r="Q33" s="83">
        <v>99.660000000000011</v>
      </c>
      <c r="R33" s="83">
        <v>16.942200000000003</v>
      </c>
      <c r="S33" s="83">
        <v>116.60220000000001</v>
      </c>
      <c r="T33" s="83">
        <v>0.44400000000000001</v>
      </c>
      <c r="U33" s="83">
        <v>0.88800000000000001</v>
      </c>
      <c r="V33" s="83">
        <v>0.18500000000000003</v>
      </c>
      <c r="W33" s="83"/>
      <c r="X33" s="83"/>
      <c r="Y33" s="83"/>
      <c r="Z33" s="83">
        <v>2.9600000000000005E-2</v>
      </c>
      <c r="AA33" s="83">
        <v>113.56080000000001</v>
      </c>
      <c r="AB33" s="83">
        <v>114.00480000000002</v>
      </c>
      <c r="AC33" s="83">
        <v>0.41844999999999999</v>
      </c>
      <c r="AD33" s="83">
        <v>7.1136500000000005E-2</v>
      </c>
      <c r="AE33" s="83">
        <v>0</v>
      </c>
      <c r="AF33" s="22">
        <v>114.0503865</v>
      </c>
      <c r="AG33" s="22">
        <v>114.49438650000002</v>
      </c>
      <c r="AH33">
        <v>117.09178650000001</v>
      </c>
    </row>
    <row r="34" spans="1:34" x14ac:dyDescent="0.15">
      <c r="A34" s="98">
        <v>26</v>
      </c>
      <c r="B34" s="75"/>
      <c r="C34" s="75" t="s">
        <v>36</v>
      </c>
      <c r="D34" s="75"/>
      <c r="E34" s="75" t="s">
        <v>37</v>
      </c>
      <c r="F34" s="75"/>
      <c r="G34" s="75" t="s">
        <v>13</v>
      </c>
      <c r="H34" s="83">
        <v>74.56</v>
      </c>
      <c r="I34" s="83">
        <v>0</v>
      </c>
      <c r="J34" s="83">
        <v>74.56</v>
      </c>
      <c r="K34" s="83">
        <v>3.59</v>
      </c>
      <c r="L34" s="83">
        <v>78.150000000000006</v>
      </c>
      <c r="M34" s="83">
        <v>2.81</v>
      </c>
      <c r="N34" s="83">
        <v>3.7</v>
      </c>
      <c r="O34" s="83">
        <v>84.660000000000011</v>
      </c>
      <c r="P34" s="83">
        <v>15</v>
      </c>
      <c r="Q34" s="83">
        <v>99.660000000000011</v>
      </c>
      <c r="R34" s="83">
        <v>16.942200000000003</v>
      </c>
      <c r="S34" s="83">
        <v>116.60220000000001</v>
      </c>
      <c r="T34" s="83">
        <v>0.44400000000000001</v>
      </c>
      <c r="U34" s="83">
        <v>0.88800000000000001</v>
      </c>
      <c r="V34" s="83">
        <v>0.18500000000000003</v>
      </c>
      <c r="W34" s="83"/>
      <c r="X34" s="83"/>
      <c r="Y34" s="83"/>
      <c r="Z34" s="83">
        <v>2.9600000000000005E-2</v>
      </c>
      <c r="AA34" s="83">
        <v>113.56080000000001</v>
      </c>
      <c r="AB34" s="83">
        <v>114.00480000000002</v>
      </c>
      <c r="AC34" s="83">
        <v>0.41844999999999999</v>
      </c>
      <c r="AD34" s="83">
        <v>7.1136500000000005E-2</v>
      </c>
      <c r="AE34" s="83">
        <v>0</v>
      </c>
      <c r="AF34" s="22">
        <v>114.0503865</v>
      </c>
      <c r="AG34" s="22">
        <v>114.49438650000002</v>
      </c>
      <c r="AH34">
        <v>117.09178650000001</v>
      </c>
    </row>
    <row r="35" spans="1:34" x14ac:dyDescent="0.15">
      <c r="A35" s="98">
        <v>27</v>
      </c>
      <c r="B35" s="75"/>
      <c r="C35" s="75" t="s">
        <v>38</v>
      </c>
      <c r="D35" s="75"/>
      <c r="E35" s="75" t="s">
        <v>39</v>
      </c>
      <c r="F35" s="75"/>
      <c r="G35" s="75" t="s">
        <v>21</v>
      </c>
      <c r="H35" s="83">
        <v>74.56</v>
      </c>
      <c r="I35" s="83">
        <v>0</v>
      </c>
      <c r="J35" s="83">
        <v>74.56</v>
      </c>
      <c r="K35" s="83">
        <v>3.59</v>
      </c>
      <c r="L35" s="83">
        <v>78.150000000000006</v>
      </c>
      <c r="M35" s="83">
        <v>2.81</v>
      </c>
      <c r="N35" s="83">
        <v>3.7</v>
      </c>
      <c r="O35" s="83">
        <v>84.660000000000011</v>
      </c>
      <c r="P35" s="83">
        <v>15</v>
      </c>
      <c r="Q35" s="83">
        <v>99.660000000000011</v>
      </c>
      <c r="R35" s="83">
        <v>16.942200000000003</v>
      </c>
      <c r="S35" s="83">
        <v>116.60220000000001</v>
      </c>
      <c r="T35" s="83">
        <v>0.44400000000000001</v>
      </c>
      <c r="U35" s="83">
        <v>0.88800000000000001</v>
      </c>
      <c r="V35" s="83">
        <v>0.25900000000000006</v>
      </c>
      <c r="W35" s="83"/>
      <c r="X35" s="83"/>
      <c r="Y35" s="83"/>
      <c r="Z35" s="83">
        <v>4.1440000000000012E-2</v>
      </c>
      <c r="AA35" s="83">
        <v>113.64664</v>
      </c>
      <c r="AB35" s="83">
        <v>114.09064000000001</v>
      </c>
      <c r="AC35" s="83">
        <v>0.55207799999999996</v>
      </c>
      <c r="AD35" s="83">
        <v>9.3853259999999994E-2</v>
      </c>
      <c r="AE35" s="83">
        <v>0</v>
      </c>
      <c r="AF35" s="22">
        <v>114.29257126</v>
      </c>
      <c r="AG35" s="22">
        <v>114.73657126000001</v>
      </c>
      <c r="AH35">
        <v>117.24813126000001</v>
      </c>
    </row>
    <row r="36" spans="1:34" x14ac:dyDescent="0.15">
      <c r="A36" s="98">
        <v>28</v>
      </c>
      <c r="B36" s="75"/>
      <c r="C36" s="75" t="s">
        <v>41</v>
      </c>
      <c r="D36" s="75"/>
      <c r="E36" s="75" t="s">
        <v>15</v>
      </c>
      <c r="F36" s="75"/>
      <c r="G36" s="75" t="s">
        <v>13</v>
      </c>
      <c r="H36" s="83">
        <v>74.56</v>
      </c>
      <c r="I36" s="83">
        <v>0</v>
      </c>
      <c r="J36" s="83">
        <v>74.56</v>
      </c>
      <c r="K36" s="83">
        <v>3.59</v>
      </c>
      <c r="L36" s="83">
        <v>78.150000000000006</v>
      </c>
      <c r="M36" s="83">
        <v>2.81</v>
      </c>
      <c r="N36" s="83">
        <v>3.7</v>
      </c>
      <c r="O36" s="83">
        <v>84.660000000000011</v>
      </c>
      <c r="P36" s="83">
        <v>15</v>
      </c>
      <c r="Q36" s="83">
        <v>99.660000000000011</v>
      </c>
      <c r="R36" s="83">
        <v>16.942200000000003</v>
      </c>
      <c r="S36" s="83">
        <v>116.60220000000001</v>
      </c>
      <c r="T36" s="83">
        <v>0.44400000000000001</v>
      </c>
      <c r="U36" s="83">
        <v>0.88800000000000001</v>
      </c>
      <c r="V36" s="83">
        <v>0.18500000000000003</v>
      </c>
      <c r="W36" s="83"/>
      <c r="X36" s="83"/>
      <c r="Y36" s="83"/>
      <c r="Z36" s="83">
        <v>2.9600000000000005E-2</v>
      </c>
      <c r="AA36" s="83">
        <v>113.56080000000001</v>
      </c>
      <c r="AB36" s="83">
        <v>114.00480000000002</v>
      </c>
      <c r="AC36" s="83">
        <v>0.41844999999999999</v>
      </c>
      <c r="AD36" s="83">
        <v>7.1136500000000005E-2</v>
      </c>
      <c r="AE36" s="83">
        <v>0</v>
      </c>
      <c r="AF36" s="22">
        <v>114.0503865</v>
      </c>
      <c r="AG36" s="22">
        <v>114.49438650000002</v>
      </c>
      <c r="AH36">
        <v>117.09178650000001</v>
      </c>
    </row>
    <row r="37" spans="1:34" x14ac:dyDescent="0.15">
      <c r="A37" s="98">
        <v>29</v>
      </c>
      <c r="B37" s="75"/>
      <c r="C37" s="75" t="s">
        <v>42</v>
      </c>
      <c r="D37" s="75"/>
      <c r="E37" s="75" t="s">
        <v>43</v>
      </c>
      <c r="F37" s="75"/>
      <c r="G37" s="75" t="s">
        <v>25</v>
      </c>
      <c r="H37" s="83">
        <v>74.56</v>
      </c>
      <c r="I37" s="83">
        <v>0</v>
      </c>
      <c r="J37" s="83">
        <v>74.56</v>
      </c>
      <c r="K37" s="83">
        <v>3.59</v>
      </c>
      <c r="L37" s="83">
        <v>78.150000000000006</v>
      </c>
      <c r="M37" s="83">
        <v>2.81</v>
      </c>
      <c r="N37" s="83">
        <v>3.7</v>
      </c>
      <c r="O37" s="83">
        <v>84.660000000000011</v>
      </c>
      <c r="P37" s="83">
        <v>15</v>
      </c>
      <c r="Q37" s="83">
        <v>99.660000000000011</v>
      </c>
      <c r="R37" s="83">
        <v>16.942200000000003</v>
      </c>
      <c r="S37" s="83">
        <v>116.60220000000001</v>
      </c>
      <c r="T37" s="83">
        <v>0.44400000000000001</v>
      </c>
      <c r="U37" s="83">
        <v>0.88800000000000001</v>
      </c>
      <c r="V37" s="83">
        <v>0.18500000000000003</v>
      </c>
      <c r="W37" s="83"/>
      <c r="X37" s="83"/>
      <c r="Y37" s="83"/>
      <c r="Z37" s="83">
        <v>2.9600000000000005E-2</v>
      </c>
      <c r="AA37" s="83">
        <v>113.56080000000001</v>
      </c>
      <c r="AB37" s="83">
        <v>114.00480000000002</v>
      </c>
      <c r="AC37" s="83">
        <v>0.41844999999999999</v>
      </c>
      <c r="AD37" s="83">
        <v>7.1136500000000005E-2</v>
      </c>
      <c r="AE37" s="83">
        <v>0</v>
      </c>
      <c r="AF37" s="22">
        <v>114.0503865</v>
      </c>
      <c r="AG37" s="22">
        <v>114.49438650000002</v>
      </c>
      <c r="AH37">
        <v>117.09178650000001</v>
      </c>
    </row>
    <row r="38" spans="1:34" x14ac:dyDescent="0.15">
      <c r="A38" s="98">
        <v>30</v>
      </c>
      <c r="B38" s="75"/>
      <c r="C38" s="75" t="s">
        <v>48</v>
      </c>
      <c r="D38" s="75"/>
      <c r="E38" s="75"/>
      <c r="F38" s="75"/>
      <c r="G38" s="75" t="s">
        <v>13</v>
      </c>
      <c r="H38" s="83">
        <v>74.56</v>
      </c>
      <c r="I38" s="83">
        <v>0</v>
      </c>
      <c r="J38" s="83">
        <v>74.56</v>
      </c>
      <c r="K38" s="83">
        <v>3.59</v>
      </c>
      <c r="L38" s="83">
        <v>78.150000000000006</v>
      </c>
      <c r="M38" s="83">
        <v>2.81</v>
      </c>
      <c r="N38" s="83">
        <v>3.7</v>
      </c>
      <c r="O38" s="83">
        <v>84.660000000000011</v>
      </c>
      <c r="P38" s="83">
        <v>15</v>
      </c>
      <c r="Q38" s="83">
        <v>99.660000000000011</v>
      </c>
      <c r="R38" s="83">
        <v>16.942200000000003</v>
      </c>
      <c r="S38" s="83">
        <v>116.60220000000001</v>
      </c>
      <c r="T38" s="83">
        <v>0.44400000000000001</v>
      </c>
      <c r="U38" s="83">
        <v>0.88800000000000001</v>
      </c>
      <c r="V38" s="83">
        <v>0.18500000000000003</v>
      </c>
      <c r="W38" s="83"/>
      <c r="X38" s="83"/>
      <c r="Y38" s="83"/>
      <c r="Z38" s="83">
        <v>2.9600000000000005E-2</v>
      </c>
      <c r="AA38" s="83">
        <v>113.56080000000001</v>
      </c>
      <c r="AB38" s="83">
        <v>114.00480000000002</v>
      </c>
      <c r="AC38" s="83">
        <v>1.0734849999999998</v>
      </c>
      <c r="AD38" s="83">
        <v>0.18249244999999997</v>
      </c>
      <c r="AE38" s="83">
        <v>0</v>
      </c>
      <c r="AF38" s="22">
        <v>114.81677745000002</v>
      </c>
      <c r="AG38" s="22">
        <v>115.26077745000002</v>
      </c>
      <c r="AH38">
        <v>117.85817745000001</v>
      </c>
    </row>
    <row r="39" spans="1:34" x14ac:dyDescent="0.15">
      <c r="A39" s="75"/>
      <c r="B39" s="75"/>
      <c r="C39" s="75" t="s">
        <v>49</v>
      </c>
      <c r="D39" s="75"/>
      <c r="E39" s="75"/>
      <c r="F39" s="75"/>
      <c r="G39" s="75" t="s">
        <v>21</v>
      </c>
      <c r="H39" s="83">
        <v>74.56</v>
      </c>
      <c r="I39" s="83">
        <v>0</v>
      </c>
      <c r="J39" s="83">
        <v>74.56</v>
      </c>
      <c r="K39" s="83">
        <v>3.59</v>
      </c>
      <c r="L39" s="83">
        <v>78.150000000000006</v>
      </c>
      <c r="M39" s="83">
        <v>2.81</v>
      </c>
      <c r="N39" s="83">
        <v>3.7</v>
      </c>
      <c r="O39" s="83">
        <v>84.660000000000011</v>
      </c>
      <c r="P39" s="83">
        <v>15</v>
      </c>
      <c r="Q39" s="83">
        <v>99.660000000000011</v>
      </c>
      <c r="R39" s="83">
        <v>16.942200000000003</v>
      </c>
      <c r="S39" s="83">
        <v>116.60220000000001</v>
      </c>
      <c r="T39" s="83">
        <v>0.44400000000000001</v>
      </c>
      <c r="U39" s="83">
        <v>0.88800000000000001</v>
      </c>
      <c r="V39" s="83">
        <v>0.25900000000000006</v>
      </c>
      <c r="W39" s="83"/>
      <c r="X39" s="83">
        <v>0.03</v>
      </c>
      <c r="Y39" s="83"/>
      <c r="Z39" s="83">
        <v>4.6240000000000003E-2</v>
      </c>
      <c r="AA39" s="83">
        <v>113.68144000000001</v>
      </c>
      <c r="AB39" s="83">
        <v>114.12544000000001</v>
      </c>
      <c r="AC39" s="83">
        <v>0.73610400000000009</v>
      </c>
      <c r="AD39" s="83">
        <v>0.12513768000000003</v>
      </c>
      <c r="AE39" s="83">
        <v>0</v>
      </c>
      <c r="AF39" s="22">
        <v>114.54268168</v>
      </c>
      <c r="AG39" s="22">
        <v>114.98668168</v>
      </c>
      <c r="AH39">
        <v>117.46344168</v>
      </c>
    </row>
    <row r="40" spans="1:34" x14ac:dyDescent="0.15">
      <c r="C40" t="s">
        <v>52</v>
      </c>
      <c r="E40" t="s">
        <v>53</v>
      </c>
      <c r="G40" t="s">
        <v>13</v>
      </c>
      <c r="H40" s="99">
        <v>74.56</v>
      </c>
      <c r="I40" s="99">
        <v>0</v>
      </c>
      <c r="J40" s="99">
        <v>74.56</v>
      </c>
      <c r="K40" s="99">
        <v>3.59</v>
      </c>
      <c r="L40" s="99">
        <v>78.150000000000006</v>
      </c>
      <c r="M40" s="99">
        <v>2.81</v>
      </c>
      <c r="N40" s="99">
        <v>3.7</v>
      </c>
      <c r="O40" s="99">
        <v>84.660000000000011</v>
      </c>
      <c r="P40" s="99">
        <v>15</v>
      </c>
      <c r="Q40" s="99">
        <v>99.660000000000011</v>
      </c>
      <c r="R40" s="99">
        <v>16.942200000000003</v>
      </c>
      <c r="S40" s="99">
        <v>116.60220000000001</v>
      </c>
      <c r="T40" s="99">
        <v>0.44400000000000001</v>
      </c>
      <c r="U40" s="99">
        <v>0.88800000000000001</v>
      </c>
      <c r="V40" s="99">
        <v>0.18500000000000003</v>
      </c>
      <c r="W40" s="99"/>
      <c r="X40" s="99"/>
      <c r="Y40" s="99"/>
      <c r="Z40" s="99">
        <v>2.9600000000000005E-2</v>
      </c>
      <c r="AA40" s="99">
        <v>113.56080000000001</v>
      </c>
      <c r="AB40" s="99">
        <v>114.00480000000002</v>
      </c>
      <c r="AC40" s="99">
        <v>0.95080100000000001</v>
      </c>
      <c r="AD40" s="99">
        <v>0.16163617000000002</v>
      </c>
      <c r="AE40" s="99">
        <v>0</v>
      </c>
      <c r="AF40" s="22">
        <v>114.67323717000001</v>
      </c>
      <c r="AG40" s="22">
        <v>115.11723717000001</v>
      </c>
      <c r="AH40">
        <v>117.71463717</v>
      </c>
    </row>
    <row r="41" spans="1:34" x14ac:dyDescent="0.15">
      <c r="C41" t="s">
        <v>54</v>
      </c>
      <c r="E41" t="s">
        <v>53</v>
      </c>
      <c r="G41" t="s">
        <v>16</v>
      </c>
      <c r="H41" s="99">
        <v>74.56</v>
      </c>
      <c r="I41" s="99">
        <v>0</v>
      </c>
      <c r="J41" s="99">
        <v>74.56</v>
      </c>
      <c r="K41" s="99">
        <v>3.59</v>
      </c>
      <c r="L41" s="99">
        <v>78.150000000000006</v>
      </c>
      <c r="M41" s="99">
        <v>2.81</v>
      </c>
      <c r="N41" s="99">
        <v>3.7</v>
      </c>
      <c r="O41" s="99">
        <v>84.660000000000011</v>
      </c>
      <c r="P41" s="99">
        <v>15</v>
      </c>
      <c r="Q41" s="99">
        <v>99.660000000000011</v>
      </c>
      <c r="R41" s="99">
        <v>16.942200000000003</v>
      </c>
      <c r="S41" s="99">
        <v>116.60220000000001</v>
      </c>
      <c r="T41" s="99">
        <v>0.44400000000000001</v>
      </c>
      <c r="U41" s="99">
        <v>0.88800000000000001</v>
      </c>
      <c r="V41" s="99">
        <v>0.18500000000000003</v>
      </c>
      <c r="W41" s="99"/>
      <c r="X41" s="99"/>
      <c r="Y41" s="99"/>
      <c r="Z41" s="99">
        <v>2.9600000000000005E-2</v>
      </c>
      <c r="AA41" s="99">
        <v>113.56080000000001</v>
      </c>
      <c r="AB41" s="99">
        <v>114.00480000000002</v>
      </c>
      <c r="AC41" s="99">
        <v>0.92013</v>
      </c>
      <c r="AD41" s="99">
        <v>0.15642210000000001</v>
      </c>
      <c r="AE41" s="99">
        <v>0</v>
      </c>
      <c r="AF41" s="22">
        <v>114.63735210000002</v>
      </c>
      <c r="AG41" s="22">
        <v>115.08135210000002</v>
      </c>
      <c r="AH41">
        <v>117.67875210000001</v>
      </c>
    </row>
    <row r="42" spans="1:34" x14ac:dyDescent="0.15">
      <c r="C42" t="s">
        <v>57</v>
      </c>
      <c r="E42" t="s">
        <v>58</v>
      </c>
      <c r="G42" t="s">
        <v>16</v>
      </c>
      <c r="H42" s="99">
        <v>74.56</v>
      </c>
      <c r="I42" s="99">
        <v>0</v>
      </c>
      <c r="J42" s="99">
        <v>74.56</v>
      </c>
      <c r="K42" s="99">
        <v>3.59</v>
      </c>
      <c r="L42" s="99">
        <v>78.150000000000006</v>
      </c>
      <c r="M42" s="99">
        <v>2.81</v>
      </c>
      <c r="N42" s="99">
        <v>3.7</v>
      </c>
      <c r="O42" s="99">
        <v>84.660000000000011</v>
      </c>
      <c r="P42" s="99">
        <v>15</v>
      </c>
      <c r="Q42" s="99">
        <v>99.660000000000011</v>
      </c>
      <c r="R42" s="99">
        <v>16.942200000000003</v>
      </c>
      <c r="S42" s="99">
        <v>116.60220000000001</v>
      </c>
      <c r="T42" s="99">
        <v>0.44400000000000001</v>
      </c>
      <c r="U42" s="99">
        <v>0.88800000000000001</v>
      </c>
      <c r="V42" s="99">
        <v>0.18500000000000003</v>
      </c>
      <c r="W42" s="99"/>
      <c r="X42" s="99"/>
      <c r="Y42" s="99"/>
      <c r="Z42" s="99">
        <v>2.9600000000000005E-2</v>
      </c>
      <c r="AA42" s="99">
        <v>113.56080000000001</v>
      </c>
      <c r="AB42" s="99">
        <v>114.00480000000002</v>
      </c>
      <c r="AC42" s="99">
        <v>0.41844999999999999</v>
      </c>
      <c r="AD42" s="99">
        <v>7.1136500000000005E-2</v>
      </c>
      <c r="AE42" s="99">
        <v>0</v>
      </c>
      <c r="AF42" s="22">
        <v>114.0503865</v>
      </c>
      <c r="AG42" s="22">
        <v>114.49438650000002</v>
      </c>
      <c r="AH42">
        <v>117.09178650000001</v>
      </c>
    </row>
    <row r="43" spans="1:34" x14ac:dyDescent="0.15">
      <c r="C43" t="s">
        <v>59</v>
      </c>
      <c r="E43" t="s">
        <v>60</v>
      </c>
      <c r="G43" t="s">
        <v>13</v>
      </c>
      <c r="H43" s="99">
        <v>74.56</v>
      </c>
      <c r="I43" s="99">
        <v>0</v>
      </c>
      <c r="J43" s="99">
        <v>74.56</v>
      </c>
      <c r="K43" s="99">
        <v>3.59</v>
      </c>
      <c r="L43" s="99">
        <v>78.150000000000006</v>
      </c>
      <c r="M43" s="99">
        <v>2.81</v>
      </c>
      <c r="N43" s="99">
        <v>3.7</v>
      </c>
      <c r="O43" s="99">
        <v>84.660000000000011</v>
      </c>
      <c r="P43" s="99">
        <v>15</v>
      </c>
      <c r="Q43" s="99">
        <v>99.660000000000011</v>
      </c>
      <c r="R43" s="99">
        <v>16.942200000000003</v>
      </c>
      <c r="S43" s="99">
        <v>116.60220000000001</v>
      </c>
      <c r="T43" s="99">
        <v>0.44400000000000001</v>
      </c>
      <c r="U43" s="99">
        <v>0.88800000000000001</v>
      </c>
      <c r="V43" s="99">
        <v>0.18500000000000003</v>
      </c>
      <c r="W43" s="99"/>
      <c r="X43" s="99"/>
      <c r="Y43" s="99"/>
      <c r="Z43" s="99">
        <v>2.9600000000000005E-2</v>
      </c>
      <c r="AA43" s="99">
        <v>113.56080000000001</v>
      </c>
      <c r="AB43" s="99">
        <v>114.00480000000002</v>
      </c>
      <c r="AC43" s="99">
        <v>0.41844999999999999</v>
      </c>
      <c r="AD43" s="99">
        <v>7.1136500000000005E-2</v>
      </c>
      <c r="AE43" s="99">
        <v>0</v>
      </c>
      <c r="AF43" s="22">
        <v>114.0503865</v>
      </c>
      <c r="AG43" s="22">
        <v>114.49438650000002</v>
      </c>
      <c r="AH43">
        <v>117.09178650000001</v>
      </c>
    </row>
    <row r="44" spans="1:34" x14ac:dyDescent="0.15">
      <c r="C44" t="s">
        <v>63</v>
      </c>
      <c r="G44" t="s">
        <v>16</v>
      </c>
      <c r="H44" s="99">
        <v>74.56</v>
      </c>
      <c r="I44" s="99">
        <v>0</v>
      </c>
      <c r="J44" s="99">
        <v>74.56</v>
      </c>
      <c r="K44" s="99">
        <v>3.59</v>
      </c>
      <c r="L44" s="99">
        <v>78.150000000000006</v>
      </c>
      <c r="M44" s="99">
        <v>2.81</v>
      </c>
      <c r="N44" s="99">
        <v>3.7</v>
      </c>
      <c r="O44" s="99">
        <v>84.660000000000011</v>
      </c>
      <c r="P44" s="99">
        <v>15</v>
      </c>
      <c r="Q44" s="99">
        <v>99.660000000000011</v>
      </c>
      <c r="R44" s="99">
        <v>16.942200000000003</v>
      </c>
      <c r="S44" s="99">
        <v>116.60220000000001</v>
      </c>
      <c r="T44" s="99">
        <v>0.44400000000000001</v>
      </c>
      <c r="U44" s="99">
        <v>0.88800000000000001</v>
      </c>
      <c r="V44" s="99">
        <v>0.18500000000000003</v>
      </c>
      <c r="W44" s="99"/>
      <c r="X44" s="99"/>
      <c r="Y44" s="99"/>
      <c r="Z44" s="99">
        <v>2.9600000000000005E-2</v>
      </c>
      <c r="AA44" s="99">
        <v>113.56080000000001</v>
      </c>
      <c r="AB44" s="99">
        <v>114.00480000000002</v>
      </c>
      <c r="AC44" s="99">
        <v>0.41844999999999999</v>
      </c>
      <c r="AD44" s="99">
        <v>7.1136500000000005E-2</v>
      </c>
      <c r="AE44" s="99">
        <v>0</v>
      </c>
      <c r="AF44" s="22">
        <v>114.0503865</v>
      </c>
      <c r="AG44" s="22">
        <v>114.49438650000002</v>
      </c>
      <c r="AH44">
        <v>117.09178650000001</v>
      </c>
    </row>
    <row r="45" spans="1:34" x14ac:dyDescent="0.15">
      <c r="C45" t="s">
        <v>64</v>
      </c>
      <c r="E45" t="s">
        <v>31</v>
      </c>
      <c r="G45" t="s">
        <v>13</v>
      </c>
      <c r="H45" s="99">
        <v>74.56</v>
      </c>
      <c r="I45" s="99">
        <v>0</v>
      </c>
      <c r="J45" s="99">
        <v>74.56</v>
      </c>
      <c r="K45" s="99">
        <v>3.59</v>
      </c>
      <c r="L45" s="99">
        <v>78.150000000000006</v>
      </c>
      <c r="M45" s="99">
        <v>2.81</v>
      </c>
      <c r="N45" s="99">
        <v>3.7</v>
      </c>
      <c r="O45" s="99">
        <v>84.660000000000011</v>
      </c>
      <c r="P45" s="99">
        <v>15</v>
      </c>
      <c r="Q45" s="99">
        <v>99.660000000000011</v>
      </c>
      <c r="R45" s="99">
        <v>16.942200000000003</v>
      </c>
      <c r="S45" s="99">
        <v>116.60220000000001</v>
      </c>
      <c r="T45" s="99">
        <v>0.44400000000000001</v>
      </c>
      <c r="U45" s="99">
        <v>0.88800000000000001</v>
      </c>
      <c r="V45" s="99">
        <v>0.18500000000000003</v>
      </c>
      <c r="W45" s="99"/>
      <c r="X45" s="99"/>
      <c r="Y45" s="99"/>
      <c r="Z45" s="99">
        <v>2.9600000000000005E-2</v>
      </c>
      <c r="AA45" s="99">
        <v>113.56080000000001</v>
      </c>
      <c r="AB45" s="99">
        <v>114.00480000000002</v>
      </c>
      <c r="AC45" s="99">
        <v>0.41844999999999999</v>
      </c>
      <c r="AD45" s="99">
        <v>7.1136500000000005E-2</v>
      </c>
      <c r="AE45" s="99">
        <v>0</v>
      </c>
      <c r="AF45" s="22">
        <v>114.0503865</v>
      </c>
      <c r="AG45" s="22">
        <v>114.49438650000002</v>
      </c>
      <c r="AH45">
        <v>117.09178650000001</v>
      </c>
    </row>
    <row r="46" spans="1:34" x14ac:dyDescent="0.15">
      <c r="C46" t="s">
        <v>65</v>
      </c>
      <c r="E46" t="s">
        <v>66</v>
      </c>
      <c r="G46" t="s">
        <v>13</v>
      </c>
      <c r="H46" s="99">
        <v>74.56</v>
      </c>
      <c r="I46" s="99">
        <v>0</v>
      </c>
      <c r="J46" s="99">
        <v>74.56</v>
      </c>
      <c r="K46" s="99">
        <v>3.59</v>
      </c>
      <c r="L46" s="99">
        <v>78.150000000000006</v>
      </c>
      <c r="M46" s="99">
        <v>2.81</v>
      </c>
      <c r="N46" s="99">
        <v>3.7</v>
      </c>
      <c r="O46" s="99">
        <v>84.660000000000011</v>
      </c>
      <c r="P46" s="99">
        <v>15</v>
      </c>
      <c r="Q46" s="99">
        <v>99.660000000000011</v>
      </c>
      <c r="R46" s="99">
        <v>16.942200000000003</v>
      </c>
      <c r="S46" s="99">
        <v>116.60220000000001</v>
      </c>
      <c r="T46" s="99">
        <v>0.44400000000000001</v>
      </c>
      <c r="U46" s="99">
        <v>0.88800000000000001</v>
      </c>
      <c r="V46" s="99">
        <v>0.18500000000000003</v>
      </c>
      <c r="W46" s="99"/>
      <c r="X46" s="99"/>
      <c r="Y46" s="99"/>
      <c r="Z46" s="99">
        <v>2.9600000000000005E-2</v>
      </c>
      <c r="AA46" s="99">
        <v>113.56080000000001</v>
      </c>
      <c r="AB46" s="99">
        <v>114.00480000000002</v>
      </c>
      <c r="AC46" s="99">
        <v>0.41844999999999999</v>
      </c>
      <c r="AD46" s="99">
        <v>7.1136500000000005E-2</v>
      </c>
      <c r="AE46" s="99">
        <v>0</v>
      </c>
      <c r="AF46" s="22">
        <v>114.0503865</v>
      </c>
      <c r="AG46" s="22">
        <v>114.49438650000002</v>
      </c>
      <c r="AH46">
        <v>117.09178650000001</v>
      </c>
    </row>
    <row r="47" spans="1:34" x14ac:dyDescent="0.15">
      <c r="C47" t="s">
        <v>67</v>
      </c>
      <c r="E47" t="s">
        <v>66</v>
      </c>
      <c r="G47" t="s">
        <v>13</v>
      </c>
      <c r="H47" s="99">
        <v>74.56</v>
      </c>
      <c r="I47" s="99">
        <v>0</v>
      </c>
      <c r="J47" s="99">
        <v>74.56</v>
      </c>
      <c r="K47" s="99">
        <v>3.59</v>
      </c>
      <c r="L47" s="99">
        <v>78.150000000000006</v>
      </c>
      <c r="M47" s="99">
        <v>2.81</v>
      </c>
      <c r="N47" s="99">
        <v>3.7</v>
      </c>
      <c r="O47" s="99">
        <v>84.660000000000011</v>
      </c>
      <c r="P47" s="99">
        <v>15</v>
      </c>
      <c r="Q47" s="99">
        <v>99.660000000000011</v>
      </c>
      <c r="R47" s="99">
        <v>16.942200000000003</v>
      </c>
      <c r="S47" s="99">
        <v>116.60220000000001</v>
      </c>
      <c r="T47" s="99">
        <v>0.44400000000000001</v>
      </c>
      <c r="U47" s="99">
        <v>0.88800000000000001</v>
      </c>
      <c r="V47" s="99">
        <v>0.18500000000000003</v>
      </c>
      <c r="W47" s="99"/>
      <c r="X47" s="99"/>
      <c r="Y47" s="99"/>
      <c r="Z47" s="99">
        <v>2.9600000000000005E-2</v>
      </c>
      <c r="AA47" s="99">
        <v>113.56080000000001</v>
      </c>
      <c r="AB47" s="99">
        <v>114.00480000000002</v>
      </c>
      <c r="AC47" s="99">
        <v>0.49073600000000001</v>
      </c>
      <c r="AD47" s="99">
        <v>8.3425120000000005E-2</v>
      </c>
      <c r="AE47" s="99">
        <v>0</v>
      </c>
      <c r="AF47" s="22">
        <v>114.13496112000001</v>
      </c>
      <c r="AG47" s="22">
        <v>114.57896112000002</v>
      </c>
      <c r="AH47">
        <v>117.17636112000001</v>
      </c>
    </row>
    <row r="48" spans="1:34" x14ac:dyDescent="0.15">
      <c r="C48" t="s">
        <v>68</v>
      </c>
      <c r="E48" t="s">
        <v>66</v>
      </c>
      <c r="G48" t="s">
        <v>16</v>
      </c>
      <c r="H48" s="99">
        <v>74.56</v>
      </c>
      <c r="I48" s="99">
        <v>0</v>
      </c>
      <c r="J48" s="99">
        <v>74.56</v>
      </c>
      <c r="K48" s="99">
        <v>3.59</v>
      </c>
      <c r="L48" s="99">
        <v>78.150000000000006</v>
      </c>
      <c r="M48" s="99">
        <v>2.81</v>
      </c>
      <c r="N48" s="99">
        <v>3.7</v>
      </c>
      <c r="O48" s="99">
        <v>84.660000000000011</v>
      </c>
      <c r="P48" s="99">
        <v>15</v>
      </c>
      <c r="Q48" s="99">
        <v>99.660000000000011</v>
      </c>
      <c r="R48" s="99">
        <v>16.942200000000003</v>
      </c>
      <c r="S48" s="99">
        <v>116.60220000000001</v>
      </c>
      <c r="T48" s="99">
        <v>0.44400000000000001</v>
      </c>
      <c r="U48" s="99">
        <v>0.88800000000000001</v>
      </c>
      <c r="V48" s="99">
        <v>0.18500000000000003</v>
      </c>
      <c r="W48" s="99"/>
      <c r="X48" s="99">
        <v>0.02</v>
      </c>
      <c r="Y48" s="99"/>
      <c r="Z48" s="99">
        <v>3.2800000000000003E-2</v>
      </c>
      <c r="AA48" s="99">
        <v>113.584</v>
      </c>
      <c r="AB48" s="99">
        <v>114.02800000000001</v>
      </c>
      <c r="AC48" s="99">
        <v>0.41844999999999999</v>
      </c>
      <c r="AD48" s="99">
        <v>7.1136500000000005E-2</v>
      </c>
      <c r="AE48" s="99">
        <v>0</v>
      </c>
      <c r="AF48" s="22">
        <v>114.0735865</v>
      </c>
      <c r="AG48" s="22">
        <v>114.51758649999999</v>
      </c>
      <c r="AH48">
        <v>117.09178650000001</v>
      </c>
    </row>
    <row r="49" spans="3:34" x14ac:dyDescent="0.15">
      <c r="C49" t="s">
        <v>69</v>
      </c>
      <c r="E49" t="s">
        <v>70</v>
      </c>
      <c r="G49" t="s">
        <v>13</v>
      </c>
      <c r="H49" s="99">
        <v>74.56</v>
      </c>
      <c r="I49" s="99">
        <v>0</v>
      </c>
      <c r="J49" s="99">
        <v>74.56</v>
      </c>
      <c r="K49" s="99">
        <v>3.59</v>
      </c>
      <c r="L49" s="99">
        <v>78.150000000000006</v>
      </c>
      <c r="M49" s="99">
        <v>2.81</v>
      </c>
      <c r="N49" s="99">
        <v>3.7</v>
      </c>
      <c r="O49" s="99">
        <v>84.660000000000011</v>
      </c>
      <c r="P49" s="99">
        <v>15</v>
      </c>
      <c r="Q49" s="99">
        <v>99.660000000000011</v>
      </c>
      <c r="R49" s="99">
        <v>16.942200000000003</v>
      </c>
      <c r="S49" s="99">
        <v>116.60220000000001</v>
      </c>
      <c r="T49" s="99">
        <v>0.44400000000000001</v>
      </c>
      <c r="U49" s="99">
        <v>0.88800000000000001</v>
      </c>
      <c r="V49" s="99">
        <v>0.18500000000000003</v>
      </c>
      <c r="W49" s="99"/>
      <c r="X49" s="99"/>
      <c r="Y49" s="99"/>
      <c r="Z49" s="99">
        <v>2.9600000000000005E-2</v>
      </c>
      <c r="AA49" s="99">
        <v>113.56080000000001</v>
      </c>
      <c r="AB49" s="99">
        <v>114.00480000000002</v>
      </c>
      <c r="AC49" s="99">
        <v>1.2268400000000002</v>
      </c>
      <c r="AD49" s="99">
        <v>0.20856280000000005</v>
      </c>
      <c r="AE49" s="99">
        <v>0</v>
      </c>
      <c r="AF49" s="22">
        <v>114.99620280000001</v>
      </c>
      <c r="AG49" s="22">
        <v>115.44020280000001</v>
      </c>
      <c r="AH49">
        <v>118.0376028</v>
      </c>
    </row>
    <row r="50" spans="3:34" x14ac:dyDescent="0.15">
      <c r="C50" t="s">
        <v>71</v>
      </c>
      <c r="E50" t="s">
        <v>70</v>
      </c>
      <c r="G50" t="s">
        <v>13</v>
      </c>
      <c r="H50" s="99">
        <v>74.56</v>
      </c>
      <c r="I50" s="99">
        <v>0</v>
      </c>
      <c r="J50" s="99">
        <v>74.56</v>
      </c>
      <c r="K50" s="99">
        <v>3.59</v>
      </c>
      <c r="L50" s="99">
        <v>78.150000000000006</v>
      </c>
      <c r="M50" s="99">
        <v>2.81</v>
      </c>
      <c r="N50" s="99">
        <v>3.7</v>
      </c>
      <c r="O50" s="99">
        <v>84.660000000000011</v>
      </c>
      <c r="P50" s="99">
        <v>15</v>
      </c>
      <c r="Q50" s="99">
        <v>99.660000000000011</v>
      </c>
      <c r="R50" s="99">
        <v>16.942200000000003</v>
      </c>
      <c r="S50" s="99">
        <v>116.60220000000001</v>
      </c>
      <c r="T50" s="99">
        <v>0.44400000000000001</v>
      </c>
      <c r="U50" s="99">
        <v>0.88800000000000001</v>
      </c>
      <c r="V50" s="99">
        <v>0.18500000000000003</v>
      </c>
      <c r="W50" s="99"/>
      <c r="X50" s="99"/>
      <c r="Y50" s="99"/>
      <c r="Z50" s="99">
        <v>2.9600000000000005E-2</v>
      </c>
      <c r="AA50" s="99">
        <v>113.56080000000001</v>
      </c>
      <c r="AB50" s="99">
        <v>114.00480000000002</v>
      </c>
      <c r="AC50" s="99">
        <v>0.92013</v>
      </c>
      <c r="AD50" s="99">
        <v>0.15642210000000001</v>
      </c>
      <c r="AE50" s="99">
        <v>0</v>
      </c>
      <c r="AF50" s="22">
        <v>114.63735210000002</v>
      </c>
      <c r="AG50" s="22">
        <v>115.08135210000002</v>
      </c>
      <c r="AH50">
        <v>117.67875210000001</v>
      </c>
    </row>
    <row r="51" spans="3:34" x14ac:dyDescent="0.15">
      <c r="C51" t="s">
        <v>72</v>
      </c>
      <c r="E51" t="s">
        <v>31</v>
      </c>
      <c r="G51" t="s">
        <v>13</v>
      </c>
      <c r="H51" s="99">
        <v>74.56</v>
      </c>
      <c r="I51" s="99">
        <v>0</v>
      </c>
      <c r="J51" s="99">
        <v>74.56</v>
      </c>
      <c r="K51" s="99">
        <v>3.59</v>
      </c>
      <c r="L51" s="99">
        <v>78.150000000000006</v>
      </c>
      <c r="M51" s="99">
        <v>2.81</v>
      </c>
      <c r="N51" s="99">
        <v>3.7</v>
      </c>
      <c r="O51" s="99">
        <v>84.660000000000011</v>
      </c>
      <c r="P51" s="99">
        <v>15</v>
      </c>
      <c r="Q51" s="99">
        <v>99.660000000000011</v>
      </c>
      <c r="R51" s="99">
        <v>16.942200000000003</v>
      </c>
      <c r="S51" s="99">
        <v>116.60220000000001</v>
      </c>
      <c r="T51" s="99">
        <v>0.44400000000000001</v>
      </c>
      <c r="U51" s="99">
        <v>0.88800000000000001</v>
      </c>
      <c r="V51" s="99">
        <v>0.18500000000000003</v>
      </c>
      <c r="W51" s="99"/>
      <c r="X51" s="99"/>
      <c r="Y51" s="99"/>
      <c r="Z51" s="99">
        <v>2.9600000000000005E-2</v>
      </c>
      <c r="AA51" s="99">
        <v>113.56080000000001</v>
      </c>
      <c r="AB51" s="99">
        <v>114.00480000000002</v>
      </c>
      <c r="AC51" s="99">
        <v>0.61342000000000008</v>
      </c>
      <c r="AD51" s="99">
        <v>0.10428140000000002</v>
      </c>
      <c r="AE51" s="99">
        <v>0</v>
      </c>
      <c r="AF51" s="22">
        <v>114.27850140000002</v>
      </c>
      <c r="AG51" s="22">
        <v>114.72250140000003</v>
      </c>
      <c r="AH51">
        <v>117.31990140000002</v>
      </c>
    </row>
    <row r="52" spans="3:34" x14ac:dyDescent="0.15">
      <c r="C52" t="s">
        <v>141</v>
      </c>
      <c r="E52" t="s">
        <v>31</v>
      </c>
      <c r="G52" t="s">
        <v>16</v>
      </c>
      <c r="H52" s="99">
        <v>74.56</v>
      </c>
      <c r="I52" s="99">
        <v>0</v>
      </c>
      <c r="J52" s="99">
        <v>74.56</v>
      </c>
      <c r="K52" s="99">
        <v>3.59</v>
      </c>
      <c r="L52" s="99">
        <v>78.150000000000006</v>
      </c>
      <c r="M52" s="99">
        <v>2.81</v>
      </c>
      <c r="N52" s="99">
        <v>3.7</v>
      </c>
      <c r="O52" s="99">
        <v>84.660000000000011</v>
      </c>
      <c r="P52" s="99">
        <v>15</v>
      </c>
      <c r="Q52" s="99">
        <v>99.660000000000011</v>
      </c>
      <c r="R52" s="99">
        <v>16.942200000000003</v>
      </c>
      <c r="S52" s="99">
        <v>116.60220000000001</v>
      </c>
      <c r="T52" s="99">
        <v>0.44400000000000001</v>
      </c>
      <c r="U52" s="99">
        <v>0.88800000000000001</v>
      </c>
      <c r="V52" s="99">
        <v>0.18500000000000003</v>
      </c>
      <c r="W52" s="99"/>
      <c r="X52" s="99"/>
      <c r="Y52" s="99"/>
      <c r="Z52" s="99">
        <v>2.9600000000000005E-2</v>
      </c>
      <c r="AA52" s="99">
        <v>113.56080000000001</v>
      </c>
      <c r="AB52" s="99">
        <v>114.00480000000002</v>
      </c>
      <c r="AC52" s="99">
        <v>0.858788</v>
      </c>
      <c r="AD52" s="99">
        <v>0.14599396000000001</v>
      </c>
      <c r="AE52" s="99">
        <v>0</v>
      </c>
      <c r="AF52" s="22">
        <v>114.56558196000002</v>
      </c>
      <c r="AG52" s="22">
        <v>115.00958196000002</v>
      </c>
      <c r="AH52">
        <v>117.60698196000001</v>
      </c>
    </row>
    <row r="53" spans="3:34" x14ac:dyDescent="0.15">
      <c r="C53" t="s">
        <v>142</v>
      </c>
      <c r="E53" t="s">
        <v>66</v>
      </c>
      <c r="G53" t="s">
        <v>21</v>
      </c>
      <c r="H53" s="99">
        <v>74.56</v>
      </c>
      <c r="I53" s="99">
        <v>0</v>
      </c>
      <c r="J53" s="99">
        <v>74.56</v>
      </c>
      <c r="K53" s="99">
        <v>3.59</v>
      </c>
      <c r="L53" s="99">
        <v>78.150000000000006</v>
      </c>
      <c r="M53" s="99">
        <v>2.81</v>
      </c>
      <c r="N53" s="99">
        <v>3.7</v>
      </c>
      <c r="O53" s="99">
        <v>84.660000000000011</v>
      </c>
      <c r="P53" s="99">
        <v>15</v>
      </c>
      <c r="Q53" s="99">
        <v>99.660000000000011</v>
      </c>
      <c r="R53" s="99">
        <v>16.942200000000003</v>
      </c>
      <c r="S53" s="99">
        <v>116.60220000000001</v>
      </c>
      <c r="T53" s="99">
        <v>0.44400000000000001</v>
      </c>
      <c r="U53" s="99">
        <v>0.88800000000000001</v>
      </c>
      <c r="V53" s="99">
        <v>0.25900000000000006</v>
      </c>
      <c r="W53" s="99"/>
      <c r="X53" s="99"/>
      <c r="Y53" s="99"/>
      <c r="Z53" s="99">
        <v>4.1440000000000012E-2</v>
      </c>
      <c r="AA53" s="99">
        <v>113.64664</v>
      </c>
      <c r="AB53" s="99">
        <v>114.09064000000001</v>
      </c>
      <c r="AC53" s="99">
        <v>0.41844999999999999</v>
      </c>
      <c r="AD53" s="99">
        <v>7.1136500000000005E-2</v>
      </c>
      <c r="AE53" s="99">
        <v>0</v>
      </c>
      <c r="AF53" s="22">
        <v>114.13622649999999</v>
      </c>
      <c r="AG53" s="22">
        <v>114.58022650000001</v>
      </c>
      <c r="AH53">
        <v>117.09178650000001</v>
      </c>
    </row>
    <row r="54" spans="3:34" x14ac:dyDescent="0.15">
      <c r="C54" t="s">
        <v>143</v>
      </c>
      <c r="E54" t="s">
        <v>31</v>
      </c>
      <c r="G54" t="s">
        <v>21</v>
      </c>
      <c r="H54" s="99">
        <v>74.56</v>
      </c>
      <c r="I54" s="99">
        <v>0</v>
      </c>
      <c r="J54" s="99">
        <v>74.56</v>
      </c>
      <c r="K54" s="99">
        <v>3.59</v>
      </c>
      <c r="L54" s="99">
        <v>78.150000000000006</v>
      </c>
      <c r="M54" s="99">
        <v>2.81</v>
      </c>
      <c r="N54" s="99">
        <v>3.7</v>
      </c>
      <c r="O54" s="99">
        <v>84.660000000000011</v>
      </c>
      <c r="P54" s="99">
        <v>15</v>
      </c>
      <c r="Q54" s="99">
        <v>99.660000000000011</v>
      </c>
      <c r="R54" s="99">
        <v>16.942200000000003</v>
      </c>
      <c r="S54" s="99">
        <v>116.60220000000001</v>
      </c>
      <c r="T54" s="99">
        <v>0.44400000000000001</v>
      </c>
      <c r="U54" s="99">
        <v>0.88800000000000001</v>
      </c>
      <c r="V54" s="99">
        <v>0.18500000000000003</v>
      </c>
      <c r="W54" s="99"/>
      <c r="X54" s="99"/>
      <c r="Y54" s="99"/>
      <c r="Z54" s="99">
        <v>2.9600000000000005E-2</v>
      </c>
      <c r="AA54" s="99">
        <v>113.56080000000001</v>
      </c>
      <c r="AB54" s="99">
        <v>114.00480000000002</v>
      </c>
      <c r="AC54" s="99">
        <v>0.429394</v>
      </c>
      <c r="AD54" s="99">
        <v>7.2996980000000003E-2</v>
      </c>
      <c r="AE54" s="99">
        <v>0</v>
      </c>
      <c r="AF54" s="22">
        <v>114.06319098000002</v>
      </c>
      <c r="AG54" s="22">
        <v>114.50719098000002</v>
      </c>
      <c r="AH54">
        <v>117.10459098000001</v>
      </c>
    </row>
    <row r="55" spans="3:34" x14ac:dyDescent="0.15">
      <c r="H55" s="99">
        <v>74.56</v>
      </c>
      <c r="I55" s="99">
        <v>0</v>
      </c>
      <c r="J55" s="99">
        <v>74.56</v>
      </c>
      <c r="K55" s="99">
        <v>3.59</v>
      </c>
      <c r="L55" s="99">
        <v>78.150000000000006</v>
      </c>
      <c r="M55" s="99">
        <v>2.81</v>
      </c>
      <c r="N55" s="99">
        <v>3.7</v>
      </c>
      <c r="O55" s="99">
        <v>84.660000000000011</v>
      </c>
      <c r="P55" s="99">
        <v>15</v>
      </c>
      <c r="Q55" s="99">
        <v>99.660000000000011</v>
      </c>
      <c r="R55" s="99">
        <v>16.942200000000003</v>
      </c>
      <c r="S55" s="99">
        <v>116.60220000000001</v>
      </c>
      <c r="T55" s="99">
        <v>0.44400000000000001</v>
      </c>
      <c r="U55" s="99">
        <v>0.88800000000000001</v>
      </c>
      <c r="V55" s="99">
        <v>0.18500000000000003</v>
      </c>
      <c r="W55" s="99"/>
      <c r="X55" s="99"/>
      <c r="Y55" s="99"/>
      <c r="Z55" s="99">
        <v>2.9600000000000005E-2</v>
      </c>
      <c r="AA55" s="99">
        <v>113.56080000000001</v>
      </c>
      <c r="AB55" s="99">
        <v>114.00480000000002</v>
      </c>
      <c r="AC55" s="99">
        <v>0.429394</v>
      </c>
      <c r="AD55" s="99">
        <v>7.2996980000000003E-2</v>
      </c>
      <c r="AE55" s="99">
        <v>0</v>
      </c>
      <c r="AF55" s="22">
        <v>114.06319098000002</v>
      </c>
      <c r="AG55" s="22">
        <v>114.50719098000002</v>
      </c>
      <c r="AH55">
        <v>117.10459098000001</v>
      </c>
    </row>
    <row r="56" spans="3:34" x14ac:dyDescent="0.15">
      <c r="C56" t="s">
        <v>159</v>
      </c>
      <c r="H56" s="99">
        <v>74.56</v>
      </c>
      <c r="I56" s="99">
        <v>0</v>
      </c>
      <c r="J56" s="99">
        <v>74.56</v>
      </c>
      <c r="K56" s="99">
        <v>3.59</v>
      </c>
      <c r="L56" s="99">
        <v>78.150000000000006</v>
      </c>
      <c r="M56" s="99">
        <v>2.81</v>
      </c>
      <c r="N56" s="99">
        <v>3.7</v>
      </c>
      <c r="O56" s="99">
        <v>84.660000000000011</v>
      </c>
      <c r="P56" s="99">
        <v>15</v>
      </c>
      <c r="Q56" s="99">
        <v>99.660000000000011</v>
      </c>
      <c r="R56" s="99">
        <v>16.942200000000003</v>
      </c>
      <c r="S56" s="99">
        <v>116.60220000000001</v>
      </c>
      <c r="T56" s="99">
        <v>0.44400000000000001</v>
      </c>
      <c r="U56" s="99">
        <v>0.88800000000000001</v>
      </c>
      <c r="V56" s="99">
        <v>0.18500000000000003</v>
      </c>
      <c r="W56" s="99"/>
      <c r="X56" s="99"/>
      <c r="Y56" s="99"/>
      <c r="Z56" s="99">
        <v>2.9600000000000005E-2</v>
      </c>
      <c r="AA56" s="99">
        <v>113.56080000000001</v>
      </c>
      <c r="AB56" s="99">
        <v>114.00480000000002</v>
      </c>
      <c r="AC56" s="99">
        <v>0.41844999999999999</v>
      </c>
      <c r="AD56" s="99">
        <v>7.1136500000000005E-2</v>
      </c>
      <c r="AE56" s="99">
        <v>0</v>
      </c>
      <c r="AF56" s="22">
        <v>114.0503865</v>
      </c>
      <c r="AG56" s="22">
        <v>114.49438650000002</v>
      </c>
      <c r="AH56">
        <v>117.09178650000001</v>
      </c>
    </row>
  </sheetData>
  <mergeCells count="26">
    <mergeCell ref="AC7:AC8"/>
    <mergeCell ref="AE7:AE8"/>
    <mergeCell ref="S7:S8"/>
    <mergeCell ref="U7:U8"/>
    <mergeCell ref="V7:X7"/>
    <mergeCell ref="Y7:Y8"/>
    <mergeCell ref="AA7:AA8"/>
    <mergeCell ref="AB7:AB8"/>
    <mergeCell ref="R7:R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F7:F8"/>
    <mergeCell ref="A7:A8"/>
    <mergeCell ref="B7:B8"/>
    <mergeCell ref="C7:C8"/>
    <mergeCell ref="D7:D8"/>
    <mergeCell ref="E7:E8"/>
  </mergeCells>
  <pageMargins left="0.75" right="0.75" top="1" bottom="1" header="0.5" footer="0.5"/>
  <pageSetup scale="2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J44"/>
  <sheetViews>
    <sheetView showGridLines="0" view="pageBreakPreview" zoomScale="80" zoomScaleNormal="100" zoomScaleSheetLayoutView="80" workbookViewId="0">
      <pane ySplit="8" topLeftCell="A20" activePane="bottomLeft" state="frozen"/>
      <selection activeCell="C46" sqref="C46"/>
      <selection pane="bottomLeft" activeCell="C46" sqref="C46"/>
    </sheetView>
  </sheetViews>
  <sheetFormatPr baseColWidth="10" defaultColWidth="8.83203125" defaultRowHeight="13" x14ac:dyDescent="0.15"/>
  <cols>
    <col min="1" max="1" width="8" customWidth="1"/>
    <col min="2" max="2" width="11.6640625" customWidth="1"/>
    <col min="3" max="3" width="26" bestFit="1" customWidth="1"/>
    <col min="4" max="4" width="20.5" bestFit="1" customWidth="1"/>
    <col min="5" max="5" width="18.1640625" customWidth="1"/>
    <col min="6" max="6" width="9.1640625" customWidth="1"/>
    <col min="7" max="7" width="12.5" customWidth="1"/>
    <col min="8" max="8" width="16.6640625" customWidth="1"/>
    <col min="9" max="9" width="18.5" customWidth="1"/>
    <col min="10" max="10" width="9.1640625" customWidth="1"/>
    <col min="11" max="11" width="21.1640625" customWidth="1"/>
    <col min="12" max="12" width="14.1640625" customWidth="1"/>
    <col min="13" max="13" width="15" customWidth="1"/>
    <col min="14" max="14" width="17" customWidth="1"/>
    <col min="15" max="15" width="16.33203125" customWidth="1"/>
    <col min="16" max="16" width="16.1640625" customWidth="1"/>
    <col min="17" max="17" width="11.5" customWidth="1"/>
    <col min="18" max="18" width="17.5" customWidth="1"/>
    <col min="19" max="19" width="24.5" bestFit="1" customWidth="1"/>
    <col min="20" max="20" width="14.33203125" customWidth="1"/>
    <col min="21" max="21" width="10.33203125" customWidth="1"/>
    <col min="22" max="22" width="10.6640625" customWidth="1"/>
    <col min="23" max="23" width="11.1640625" customWidth="1"/>
    <col min="24" max="24" width="14.33203125" customWidth="1"/>
    <col min="25" max="25" width="14.33203125" bestFit="1" customWidth="1"/>
    <col min="27" max="28" width="11.5" customWidth="1"/>
    <col min="29" max="29" width="14.83203125" bestFit="1" customWidth="1"/>
    <col min="30" max="30" width="13" customWidth="1"/>
    <col min="32" max="32" width="18.6640625" bestFit="1" customWidth="1"/>
  </cols>
  <sheetData>
    <row r="1" spans="1:36" x14ac:dyDescent="0.15">
      <c r="A1" s="1" t="s">
        <v>0</v>
      </c>
      <c r="B1" s="1"/>
      <c r="D1" s="42"/>
      <c r="E1" s="42"/>
      <c r="F1" s="22"/>
      <c r="G1" s="22"/>
      <c r="H1" s="43"/>
    </row>
    <row r="2" spans="1:36" x14ac:dyDescent="0.15">
      <c r="A2" s="1" t="s">
        <v>140</v>
      </c>
      <c r="B2" s="1"/>
      <c r="D2" s="22"/>
      <c r="E2" s="22"/>
      <c r="F2" s="22"/>
      <c r="G2" s="22"/>
      <c r="H2" s="22"/>
    </row>
    <row r="3" spans="1:36" x14ac:dyDescent="0.15">
      <c r="A3" s="1" t="s">
        <v>138</v>
      </c>
      <c r="B3" s="1"/>
      <c r="D3" s="22"/>
      <c r="E3" s="22"/>
      <c r="F3" s="22"/>
      <c r="G3" s="22"/>
      <c r="H3" s="22"/>
    </row>
    <row r="4" spans="1:36" x14ac:dyDescent="0.15">
      <c r="A4" s="1"/>
      <c r="B4" s="1"/>
    </row>
    <row r="5" spans="1:36" ht="20" customHeight="1" x14ac:dyDescent="0.15">
      <c r="A5" s="7" t="s">
        <v>83</v>
      </c>
      <c r="B5" s="21"/>
      <c r="P5" s="29"/>
      <c r="Q5" s="30"/>
      <c r="R5" s="29"/>
    </row>
    <row r="6" spans="1:36" s="22" customFormat="1" ht="5" customHeight="1" x14ac:dyDescent="0.15">
      <c r="A6" s="21"/>
      <c r="B6" s="21"/>
    </row>
    <row r="7" spans="1:36" ht="15" customHeight="1" x14ac:dyDescent="0.2">
      <c r="A7" s="138" t="s">
        <v>3</v>
      </c>
      <c r="B7" s="122" t="s">
        <v>110</v>
      </c>
      <c r="C7" s="136" t="s">
        <v>4</v>
      </c>
      <c r="D7" s="136" t="s">
        <v>5</v>
      </c>
      <c r="E7" s="136" t="s">
        <v>160</v>
      </c>
      <c r="F7" s="136" t="s">
        <v>6</v>
      </c>
      <c r="G7" s="136" t="s">
        <v>7</v>
      </c>
      <c r="H7" s="136" t="s">
        <v>73</v>
      </c>
      <c r="I7" s="136" t="s">
        <v>77</v>
      </c>
      <c r="J7" s="136" t="s">
        <v>74</v>
      </c>
      <c r="K7" s="136" t="s">
        <v>78</v>
      </c>
      <c r="L7" s="136" t="s">
        <v>75</v>
      </c>
      <c r="M7" s="136" t="s">
        <v>76</v>
      </c>
      <c r="N7" s="136" t="s">
        <v>79</v>
      </c>
      <c r="O7" s="136" t="s">
        <v>80</v>
      </c>
      <c r="P7" s="141" t="s">
        <v>81</v>
      </c>
      <c r="Q7" s="136" t="s">
        <v>82</v>
      </c>
      <c r="R7" s="142" t="s">
        <v>84</v>
      </c>
      <c r="S7" s="87" t="s">
        <v>92</v>
      </c>
      <c r="T7" s="124" t="s">
        <v>93</v>
      </c>
      <c r="U7" s="146" t="s">
        <v>96</v>
      </c>
      <c r="V7" s="147"/>
      <c r="W7" s="148"/>
      <c r="X7" s="134" t="s">
        <v>100</v>
      </c>
      <c r="Y7" s="86" t="s">
        <v>109</v>
      </c>
      <c r="Z7" s="124" t="s">
        <v>103</v>
      </c>
      <c r="AA7" s="129" t="s">
        <v>104</v>
      </c>
      <c r="AB7" s="129" t="s">
        <v>108</v>
      </c>
      <c r="AC7" s="87" t="s">
        <v>105</v>
      </c>
      <c r="AD7" s="124" t="s">
        <v>106</v>
      </c>
    </row>
    <row r="8" spans="1:36" s="13" customFormat="1" ht="20" customHeight="1" x14ac:dyDescent="0.15">
      <c r="A8" s="139"/>
      <c r="B8" s="123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43"/>
      <c r="S8" s="27" t="s">
        <v>158</v>
      </c>
      <c r="T8" s="140"/>
      <c r="U8" s="28" t="s">
        <v>97</v>
      </c>
      <c r="V8" s="28" t="s">
        <v>98</v>
      </c>
      <c r="W8" s="28" t="s">
        <v>99</v>
      </c>
      <c r="X8" s="149"/>
      <c r="Y8" s="27" t="s">
        <v>101</v>
      </c>
      <c r="Z8" s="136"/>
      <c r="AA8" s="150"/>
      <c r="AB8" s="132"/>
      <c r="AC8" s="27" t="s">
        <v>101</v>
      </c>
      <c r="AD8" s="137"/>
      <c r="AF8" s="35" t="s">
        <v>130</v>
      </c>
      <c r="AG8" s="36" t="s">
        <v>129</v>
      </c>
      <c r="AH8" s="36" t="s">
        <v>131</v>
      </c>
      <c r="AI8" s="36" t="s">
        <v>106</v>
      </c>
      <c r="AJ8" s="36" t="s">
        <v>132</v>
      </c>
    </row>
    <row r="9" spans="1:36" s="22" customFormat="1" ht="15" customHeight="1" x14ac:dyDescent="0.2">
      <c r="A9" s="39">
        <v>1</v>
      </c>
      <c r="B9" s="38" t="s">
        <v>111</v>
      </c>
      <c r="C9" s="38" t="str">
        <f>'PMG Master'!C10</f>
        <v>Shehryar Petroleum</v>
      </c>
      <c r="D9" s="41" t="s">
        <v>12</v>
      </c>
      <c r="E9" s="97" t="e">
        <f>#REF!</f>
        <v>#REF!</v>
      </c>
      <c r="F9" s="12" t="s">
        <v>13</v>
      </c>
      <c r="G9" s="57">
        <v>83.65</v>
      </c>
      <c r="H9" s="57">
        <v>0.03</v>
      </c>
      <c r="I9" s="57">
        <f t="shared" ref="I9:I25" si="0">G9+H9</f>
        <v>83.68</v>
      </c>
      <c r="J9" s="57">
        <v>1.1599999999999999</v>
      </c>
      <c r="K9" s="60">
        <f t="shared" ref="K9:K25" si="1">I9+J9</f>
        <v>84.84</v>
      </c>
      <c r="L9" s="60">
        <v>2.81</v>
      </c>
      <c r="M9" s="57">
        <v>3.12</v>
      </c>
      <c r="N9" s="57">
        <f t="shared" ref="N9:N25" si="2">K9+L9+M9</f>
        <v>90.77000000000001</v>
      </c>
      <c r="O9" s="60">
        <v>18</v>
      </c>
      <c r="P9" s="81">
        <f t="shared" ref="P9:P25" si="3">N9+O9</f>
        <v>108.77000000000001</v>
      </c>
      <c r="Q9" s="57">
        <f>P9*17%</f>
        <v>18.490900000000003</v>
      </c>
      <c r="R9" s="60">
        <f t="shared" ref="R9:R25" si="4">Q9+P9</f>
        <v>127.26090000000002</v>
      </c>
      <c r="S9" s="65">
        <f t="shared" ref="S9:S24" si="5">M9*0.12</f>
        <v>0.37440000000000001</v>
      </c>
      <c r="T9" s="61">
        <f>M9*0.05</f>
        <v>0.15600000000000003</v>
      </c>
      <c r="U9" s="61"/>
      <c r="V9" s="66"/>
      <c r="W9" s="61"/>
      <c r="X9" s="57">
        <f t="shared" ref="X9:X25" si="6">(T9+U9+V9+W9)*0.16</f>
        <v>2.4960000000000006E-2</v>
      </c>
      <c r="Y9" s="65">
        <f t="shared" ref="Y9:Y25" si="7">R9+S9+T9+U9+V9+W9+X9-M9</f>
        <v>124.69626000000001</v>
      </c>
      <c r="Z9" s="64" t="e">
        <f>#REF!</f>
        <v>#REF!</v>
      </c>
      <c r="AA9" s="65" t="e">
        <f t="shared" ref="AA9:AA25" si="8">Z9*0.17</f>
        <v>#REF!</v>
      </c>
      <c r="AB9" s="65">
        <v>0</v>
      </c>
      <c r="AC9" s="65" t="e">
        <f t="shared" ref="AC9:AC25" si="9">Y9+Z9+AA9</f>
        <v>#REF!</v>
      </c>
      <c r="AD9" s="65" t="e">
        <f t="shared" ref="AD9:AD25" si="10">R9+Z9+AA9</f>
        <v>#REF!</v>
      </c>
      <c r="AE9" s="40"/>
      <c r="AF9" s="37">
        <f t="shared" ref="AF9:AF24" si="11">L9+T9+U9+V9+W9</f>
        <v>2.9660000000000002</v>
      </c>
      <c r="AG9" s="46" t="e">
        <f t="shared" ref="AG9:AG24" si="12">AD9-AC9</f>
        <v>#REF!</v>
      </c>
      <c r="AH9" s="47">
        <f t="shared" ref="AH9:AH24" si="13">X9+V9+T9+S9</f>
        <v>0.55536000000000008</v>
      </c>
      <c r="AI9" s="47" t="e">
        <f t="shared" ref="AI9:AI24" si="14">AC9+AG9</f>
        <v>#REF!</v>
      </c>
      <c r="AJ9" s="47" t="e">
        <f t="shared" ref="AJ9:AJ24" si="15">AI9-AD9</f>
        <v>#REF!</v>
      </c>
    </row>
    <row r="10" spans="1:36" s="22" customFormat="1" ht="15" customHeight="1" x14ac:dyDescent="0.2">
      <c r="A10" s="39">
        <f>A9+1</f>
        <v>2</v>
      </c>
      <c r="B10" s="38" t="s">
        <v>124</v>
      </c>
      <c r="C10" s="38" t="str">
        <f>'PMG Master'!C11</f>
        <v>Al-Mustafa CNG F/S</v>
      </c>
      <c r="D10" s="41" t="s">
        <v>15</v>
      </c>
      <c r="E10" s="97" t="e">
        <f>#REF!</f>
        <v>#REF!</v>
      </c>
      <c r="F10" s="12" t="s">
        <v>16</v>
      </c>
      <c r="G10" s="57">
        <v>83.65</v>
      </c>
      <c r="H10" s="57">
        <v>0.03</v>
      </c>
      <c r="I10" s="57">
        <f t="shared" si="0"/>
        <v>83.68</v>
      </c>
      <c r="J10" s="57">
        <v>1.1599999999999999</v>
      </c>
      <c r="K10" s="60">
        <f t="shared" si="1"/>
        <v>84.84</v>
      </c>
      <c r="L10" s="60">
        <v>2.81</v>
      </c>
      <c r="M10" s="57">
        <v>3.12</v>
      </c>
      <c r="N10" s="57">
        <f t="shared" si="2"/>
        <v>90.77000000000001</v>
      </c>
      <c r="O10" s="60">
        <v>18</v>
      </c>
      <c r="P10" s="81">
        <f t="shared" si="3"/>
        <v>108.77000000000001</v>
      </c>
      <c r="Q10" s="57">
        <f t="shared" ref="Q10:Q25" si="16">P10*17%</f>
        <v>18.490900000000003</v>
      </c>
      <c r="R10" s="60">
        <f t="shared" si="4"/>
        <v>127.26090000000002</v>
      </c>
      <c r="S10" s="65">
        <f t="shared" si="5"/>
        <v>0.37440000000000001</v>
      </c>
      <c r="T10" s="61">
        <f>M10*0.05</f>
        <v>0.15600000000000003</v>
      </c>
      <c r="U10" s="61"/>
      <c r="V10" s="66"/>
      <c r="W10" s="61"/>
      <c r="X10" s="57">
        <f t="shared" si="6"/>
        <v>2.4960000000000006E-2</v>
      </c>
      <c r="Y10" s="65">
        <f t="shared" si="7"/>
        <v>124.69626000000001</v>
      </c>
      <c r="Z10" s="64" t="e">
        <f>#REF!</f>
        <v>#REF!</v>
      </c>
      <c r="AA10" s="65" t="e">
        <f t="shared" si="8"/>
        <v>#REF!</v>
      </c>
      <c r="AB10" s="65">
        <v>0</v>
      </c>
      <c r="AC10" s="65" t="e">
        <f t="shared" si="9"/>
        <v>#REF!</v>
      </c>
      <c r="AD10" s="65" t="e">
        <f t="shared" si="10"/>
        <v>#REF!</v>
      </c>
      <c r="AE10" s="40"/>
      <c r="AF10" s="37">
        <f t="shared" si="11"/>
        <v>2.9660000000000002</v>
      </c>
      <c r="AG10" s="46" t="e">
        <f t="shared" si="12"/>
        <v>#REF!</v>
      </c>
      <c r="AH10" s="47">
        <f t="shared" si="13"/>
        <v>0.55536000000000008</v>
      </c>
      <c r="AI10" s="47" t="e">
        <f t="shared" si="14"/>
        <v>#REF!</v>
      </c>
      <c r="AJ10" s="47" t="e">
        <f t="shared" si="15"/>
        <v>#REF!</v>
      </c>
    </row>
    <row r="11" spans="1:36" s="22" customFormat="1" ht="15" customHeight="1" x14ac:dyDescent="0.2">
      <c r="A11" s="39">
        <f t="shared" ref="A11:A25" si="17">A10+1</f>
        <v>3</v>
      </c>
      <c r="B11" s="38" t="s">
        <v>112</v>
      </c>
      <c r="C11" s="38" t="str">
        <f>'PMG Master'!C12</f>
        <v>Toheed F/S</v>
      </c>
      <c r="D11" s="41" t="s">
        <v>18</v>
      </c>
      <c r="E11" s="97" t="e">
        <f>#REF!</f>
        <v>#REF!</v>
      </c>
      <c r="F11" s="12" t="s">
        <v>16</v>
      </c>
      <c r="G11" s="57">
        <v>83.65</v>
      </c>
      <c r="H11" s="57">
        <v>0.03</v>
      </c>
      <c r="I11" s="57">
        <f t="shared" si="0"/>
        <v>83.68</v>
      </c>
      <c r="J11" s="57">
        <v>1.1599999999999999</v>
      </c>
      <c r="K11" s="60">
        <f t="shared" si="1"/>
        <v>84.84</v>
      </c>
      <c r="L11" s="60">
        <v>2.81</v>
      </c>
      <c r="M11" s="57">
        <v>3.12</v>
      </c>
      <c r="N11" s="57">
        <f t="shared" si="2"/>
        <v>90.77000000000001</v>
      </c>
      <c r="O11" s="60">
        <v>18</v>
      </c>
      <c r="P11" s="81">
        <f t="shared" si="3"/>
        <v>108.77000000000001</v>
      </c>
      <c r="Q11" s="57">
        <f t="shared" si="16"/>
        <v>18.490900000000003</v>
      </c>
      <c r="R11" s="60">
        <f t="shared" si="4"/>
        <v>127.26090000000002</v>
      </c>
      <c r="S11" s="65">
        <f t="shared" si="5"/>
        <v>0.37440000000000001</v>
      </c>
      <c r="T11" s="61">
        <f>M11*0.05</f>
        <v>0.15600000000000003</v>
      </c>
      <c r="U11" s="61"/>
      <c r="V11" s="66"/>
      <c r="W11" s="61"/>
      <c r="X11" s="57">
        <f t="shared" si="6"/>
        <v>2.4960000000000006E-2</v>
      </c>
      <c r="Y11" s="65">
        <f t="shared" si="7"/>
        <v>124.69626000000001</v>
      </c>
      <c r="Z11" s="64" t="e">
        <f>#REF!</f>
        <v>#REF!</v>
      </c>
      <c r="AA11" s="65" t="e">
        <f t="shared" si="8"/>
        <v>#REF!</v>
      </c>
      <c r="AB11" s="65">
        <v>0</v>
      </c>
      <c r="AC11" s="65" t="e">
        <f t="shared" si="9"/>
        <v>#REF!</v>
      </c>
      <c r="AD11" s="65" t="e">
        <f t="shared" si="10"/>
        <v>#REF!</v>
      </c>
      <c r="AE11" s="40"/>
      <c r="AF11" s="37">
        <f t="shared" si="11"/>
        <v>2.9660000000000002</v>
      </c>
      <c r="AG11" s="46" t="e">
        <f t="shared" si="12"/>
        <v>#REF!</v>
      </c>
      <c r="AH11" s="47">
        <f t="shared" si="13"/>
        <v>0.55536000000000008</v>
      </c>
      <c r="AI11" s="47" t="e">
        <f t="shared" si="14"/>
        <v>#REF!</v>
      </c>
      <c r="AJ11" s="47" t="e">
        <f t="shared" si="15"/>
        <v>#REF!</v>
      </c>
    </row>
    <row r="12" spans="1:36" s="22" customFormat="1" ht="15" customHeight="1" x14ac:dyDescent="0.2">
      <c r="A12" s="39">
        <f t="shared" si="17"/>
        <v>4</v>
      </c>
      <c r="B12" s="38" t="s">
        <v>127</v>
      </c>
      <c r="C12" s="38" t="str">
        <f>'PMG Master'!C13</f>
        <v>Yousaf Zai F/S</v>
      </c>
      <c r="D12" s="41" t="s">
        <v>20</v>
      </c>
      <c r="E12" s="97" t="e">
        <f>#REF!</f>
        <v>#REF!</v>
      </c>
      <c r="F12" s="12" t="s">
        <v>21</v>
      </c>
      <c r="G12" s="57">
        <v>83.65</v>
      </c>
      <c r="H12" s="57">
        <v>0.03</v>
      </c>
      <c r="I12" s="57">
        <f t="shared" si="0"/>
        <v>83.68</v>
      </c>
      <c r="J12" s="57">
        <v>1.1599999999999999</v>
      </c>
      <c r="K12" s="60">
        <f t="shared" si="1"/>
        <v>84.84</v>
      </c>
      <c r="L12" s="60">
        <v>2.81</v>
      </c>
      <c r="M12" s="57">
        <v>3.12</v>
      </c>
      <c r="N12" s="57">
        <f t="shared" si="2"/>
        <v>90.77000000000001</v>
      </c>
      <c r="O12" s="60">
        <v>18</v>
      </c>
      <c r="P12" s="81">
        <f t="shared" si="3"/>
        <v>108.77000000000001</v>
      </c>
      <c r="Q12" s="57">
        <f t="shared" si="16"/>
        <v>18.490900000000003</v>
      </c>
      <c r="R12" s="60">
        <f t="shared" si="4"/>
        <v>127.26090000000002</v>
      </c>
      <c r="S12" s="65">
        <f t="shared" si="5"/>
        <v>0.37440000000000001</v>
      </c>
      <c r="T12" s="61">
        <f>M12*0.07</f>
        <v>0.21840000000000004</v>
      </c>
      <c r="U12" s="61"/>
      <c r="V12" s="66"/>
      <c r="W12" s="61"/>
      <c r="X12" s="57">
        <f t="shared" si="6"/>
        <v>3.494400000000001E-2</v>
      </c>
      <c r="Y12" s="65">
        <f t="shared" si="7"/>
        <v>124.76864400000001</v>
      </c>
      <c r="Z12" s="64" t="e">
        <f>#REF!</f>
        <v>#REF!</v>
      </c>
      <c r="AA12" s="65" t="e">
        <f t="shared" si="8"/>
        <v>#REF!</v>
      </c>
      <c r="AB12" s="65">
        <v>0</v>
      </c>
      <c r="AC12" s="94" t="e">
        <f t="shared" si="9"/>
        <v>#REF!</v>
      </c>
      <c r="AD12" s="65" t="e">
        <f t="shared" si="10"/>
        <v>#REF!</v>
      </c>
      <c r="AE12" s="40"/>
      <c r="AF12" s="37">
        <f t="shared" si="11"/>
        <v>3.0284</v>
      </c>
      <c r="AG12" s="46" t="e">
        <f t="shared" si="12"/>
        <v>#REF!</v>
      </c>
      <c r="AH12" s="47">
        <f t="shared" si="13"/>
        <v>0.62774400000000008</v>
      </c>
      <c r="AI12" s="47" t="e">
        <f t="shared" si="14"/>
        <v>#REF!</v>
      </c>
      <c r="AJ12" s="47" t="e">
        <f t="shared" si="15"/>
        <v>#REF!</v>
      </c>
    </row>
    <row r="13" spans="1:36" s="22" customFormat="1" ht="15" customHeight="1" x14ac:dyDescent="0.2">
      <c r="A13" s="39">
        <f t="shared" si="17"/>
        <v>5</v>
      </c>
      <c r="B13" s="38" t="s">
        <v>126</v>
      </c>
      <c r="C13" s="38" t="str">
        <f>'PMG Master'!C19</f>
        <v>Friends Petroleum</v>
      </c>
      <c r="D13" s="4" t="s">
        <v>31</v>
      </c>
      <c r="E13" s="97" t="e">
        <f>#REF!</f>
        <v>#REF!</v>
      </c>
      <c r="F13" s="12" t="s">
        <v>16</v>
      </c>
      <c r="G13" s="57">
        <v>83.65</v>
      </c>
      <c r="H13" s="57">
        <v>0.03</v>
      </c>
      <c r="I13" s="57">
        <f t="shared" si="0"/>
        <v>83.68</v>
      </c>
      <c r="J13" s="57">
        <v>1.1599999999999999</v>
      </c>
      <c r="K13" s="60">
        <f t="shared" si="1"/>
        <v>84.84</v>
      </c>
      <c r="L13" s="60">
        <v>2.81</v>
      </c>
      <c r="M13" s="57">
        <v>3.12</v>
      </c>
      <c r="N13" s="57">
        <f t="shared" si="2"/>
        <v>90.77000000000001</v>
      </c>
      <c r="O13" s="60">
        <v>18</v>
      </c>
      <c r="P13" s="81">
        <f t="shared" si="3"/>
        <v>108.77000000000001</v>
      </c>
      <c r="Q13" s="57">
        <f t="shared" si="16"/>
        <v>18.490900000000003</v>
      </c>
      <c r="R13" s="60">
        <f t="shared" si="4"/>
        <v>127.26090000000002</v>
      </c>
      <c r="S13" s="65">
        <f t="shared" si="5"/>
        <v>0.37440000000000001</v>
      </c>
      <c r="T13" s="61">
        <f t="shared" ref="T13:T22" si="18">M13*0.05</f>
        <v>0.15600000000000003</v>
      </c>
      <c r="U13" s="61"/>
      <c r="V13" s="66"/>
      <c r="W13" s="61"/>
      <c r="X13" s="57">
        <f t="shared" si="6"/>
        <v>2.4960000000000006E-2</v>
      </c>
      <c r="Y13" s="65">
        <f t="shared" si="7"/>
        <v>124.69626000000001</v>
      </c>
      <c r="Z13" s="64" t="e">
        <f>#REF!</f>
        <v>#REF!</v>
      </c>
      <c r="AA13" s="65" t="e">
        <f t="shared" si="8"/>
        <v>#REF!</v>
      </c>
      <c r="AB13" s="65">
        <v>0</v>
      </c>
      <c r="AC13" s="65" t="e">
        <f t="shared" si="9"/>
        <v>#REF!</v>
      </c>
      <c r="AD13" s="65" t="e">
        <f t="shared" si="10"/>
        <v>#REF!</v>
      </c>
      <c r="AE13" s="40"/>
      <c r="AF13" s="37">
        <f t="shared" si="11"/>
        <v>2.9660000000000002</v>
      </c>
      <c r="AG13" s="46" t="e">
        <f t="shared" si="12"/>
        <v>#REF!</v>
      </c>
      <c r="AH13" s="47">
        <f t="shared" si="13"/>
        <v>0.55536000000000008</v>
      </c>
      <c r="AI13" s="47" t="e">
        <f t="shared" si="14"/>
        <v>#REF!</v>
      </c>
      <c r="AJ13" s="47" t="e">
        <f t="shared" si="15"/>
        <v>#REF!</v>
      </c>
    </row>
    <row r="14" spans="1:36" s="22" customFormat="1" ht="15" customHeight="1" x14ac:dyDescent="0.2">
      <c r="A14" s="39">
        <f t="shared" si="17"/>
        <v>6</v>
      </c>
      <c r="B14" s="38" t="s">
        <v>134</v>
      </c>
      <c r="C14" s="38" t="str">
        <f>'PMG Master'!C21</f>
        <v>Al Fareed FS</v>
      </c>
      <c r="D14" s="4" t="s">
        <v>31</v>
      </c>
      <c r="E14" s="97" t="e">
        <f>#REF!</f>
        <v>#REF!</v>
      </c>
      <c r="F14" s="12" t="s">
        <v>13</v>
      </c>
      <c r="G14" s="57">
        <v>83.65</v>
      </c>
      <c r="H14" s="57">
        <v>0.03</v>
      </c>
      <c r="I14" s="57">
        <f t="shared" si="0"/>
        <v>83.68</v>
      </c>
      <c r="J14" s="57">
        <v>1.1599999999999999</v>
      </c>
      <c r="K14" s="60">
        <f t="shared" si="1"/>
        <v>84.84</v>
      </c>
      <c r="L14" s="60">
        <v>2.81</v>
      </c>
      <c r="M14" s="57">
        <v>3.12</v>
      </c>
      <c r="N14" s="57">
        <f t="shared" si="2"/>
        <v>90.77000000000001</v>
      </c>
      <c r="O14" s="60">
        <v>18</v>
      </c>
      <c r="P14" s="81">
        <f t="shared" si="3"/>
        <v>108.77000000000001</v>
      </c>
      <c r="Q14" s="57">
        <f t="shared" si="16"/>
        <v>18.490900000000003</v>
      </c>
      <c r="R14" s="60">
        <f t="shared" si="4"/>
        <v>127.26090000000002</v>
      </c>
      <c r="S14" s="65">
        <f t="shared" si="5"/>
        <v>0.37440000000000001</v>
      </c>
      <c r="T14" s="61">
        <f t="shared" si="18"/>
        <v>0.15600000000000003</v>
      </c>
      <c r="U14" s="61"/>
      <c r="V14" s="66"/>
      <c r="W14" s="61"/>
      <c r="X14" s="57">
        <f t="shared" si="6"/>
        <v>2.4960000000000006E-2</v>
      </c>
      <c r="Y14" s="65">
        <f t="shared" si="7"/>
        <v>124.69626000000001</v>
      </c>
      <c r="Z14" s="64" t="e">
        <f>#REF!</f>
        <v>#REF!</v>
      </c>
      <c r="AA14" s="65" t="e">
        <f t="shared" si="8"/>
        <v>#REF!</v>
      </c>
      <c r="AB14" s="65">
        <v>0</v>
      </c>
      <c r="AC14" s="65" t="e">
        <f t="shared" si="9"/>
        <v>#REF!</v>
      </c>
      <c r="AD14" s="65" t="e">
        <f t="shared" si="10"/>
        <v>#REF!</v>
      </c>
      <c r="AE14" s="40"/>
      <c r="AF14" s="37">
        <f t="shared" si="11"/>
        <v>2.9660000000000002</v>
      </c>
      <c r="AG14" s="46" t="e">
        <f t="shared" si="12"/>
        <v>#REF!</v>
      </c>
      <c r="AH14" s="47">
        <f t="shared" si="13"/>
        <v>0.55536000000000008</v>
      </c>
      <c r="AI14" s="47" t="e">
        <f t="shared" si="14"/>
        <v>#REF!</v>
      </c>
      <c r="AJ14" s="47" t="e">
        <f t="shared" si="15"/>
        <v>#REF!</v>
      </c>
    </row>
    <row r="15" spans="1:36" s="22" customFormat="1" ht="15" customHeight="1" x14ac:dyDescent="0.2">
      <c r="A15" s="39">
        <f t="shared" si="17"/>
        <v>7</v>
      </c>
      <c r="B15" s="38" t="str">
        <f>'PMG Master'!B25</f>
        <v>R-00019</v>
      </c>
      <c r="C15" s="80" t="str">
        <f>'PMG Master'!C25</f>
        <v>Al Qadir FS</v>
      </c>
      <c r="D15" s="4" t="s">
        <v>15</v>
      </c>
      <c r="E15" s="97" t="e">
        <f>#REF!</f>
        <v>#REF!</v>
      </c>
      <c r="F15" s="12" t="s">
        <v>25</v>
      </c>
      <c r="G15" s="57">
        <v>83.65</v>
      </c>
      <c r="H15" s="57">
        <v>0.03</v>
      </c>
      <c r="I15" s="57">
        <f t="shared" si="0"/>
        <v>83.68</v>
      </c>
      <c r="J15" s="57">
        <v>1.1599999999999999</v>
      </c>
      <c r="K15" s="60">
        <f t="shared" si="1"/>
        <v>84.84</v>
      </c>
      <c r="L15" s="60">
        <v>2.81</v>
      </c>
      <c r="M15" s="57">
        <v>3.12</v>
      </c>
      <c r="N15" s="57">
        <f t="shared" si="2"/>
        <v>90.77000000000001</v>
      </c>
      <c r="O15" s="60">
        <v>18</v>
      </c>
      <c r="P15" s="81">
        <f t="shared" si="3"/>
        <v>108.77000000000001</v>
      </c>
      <c r="Q15" s="57">
        <f t="shared" si="16"/>
        <v>18.490900000000003</v>
      </c>
      <c r="R15" s="60">
        <f t="shared" si="4"/>
        <v>127.26090000000002</v>
      </c>
      <c r="S15" s="65">
        <f t="shared" si="5"/>
        <v>0.37440000000000001</v>
      </c>
      <c r="T15" s="61">
        <f t="shared" si="18"/>
        <v>0.15600000000000003</v>
      </c>
      <c r="U15" s="61"/>
      <c r="V15" s="66"/>
      <c r="W15" s="61"/>
      <c r="X15" s="57">
        <f t="shared" si="6"/>
        <v>2.4960000000000006E-2</v>
      </c>
      <c r="Y15" s="65">
        <f t="shared" si="7"/>
        <v>124.69626000000001</v>
      </c>
      <c r="Z15" s="64" t="e">
        <f>#REF!</f>
        <v>#REF!</v>
      </c>
      <c r="AA15" s="65" t="e">
        <f t="shared" si="8"/>
        <v>#REF!</v>
      </c>
      <c r="AB15" s="65">
        <v>0</v>
      </c>
      <c r="AC15" s="65" t="e">
        <f t="shared" si="9"/>
        <v>#REF!</v>
      </c>
      <c r="AD15" s="65" t="e">
        <f t="shared" si="10"/>
        <v>#REF!</v>
      </c>
      <c r="AE15" s="40"/>
      <c r="AF15" s="37">
        <f t="shared" si="11"/>
        <v>2.9660000000000002</v>
      </c>
      <c r="AG15" s="46" t="e">
        <f t="shared" si="12"/>
        <v>#REF!</v>
      </c>
      <c r="AH15" s="47">
        <f t="shared" si="13"/>
        <v>0.55536000000000008</v>
      </c>
      <c r="AI15" s="47" t="e">
        <f t="shared" si="14"/>
        <v>#REF!</v>
      </c>
      <c r="AJ15" s="47" t="e">
        <f t="shared" si="15"/>
        <v>#REF!</v>
      </c>
    </row>
    <row r="16" spans="1:36" s="22" customFormat="1" ht="15" customHeight="1" x14ac:dyDescent="0.2">
      <c r="A16" s="39">
        <f t="shared" si="17"/>
        <v>8</v>
      </c>
      <c r="B16" s="38" t="s">
        <v>113</v>
      </c>
      <c r="C16" s="38" t="str">
        <f>'PMG Master'!C28</f>
        <v>Rana Saleem Petroleum</v>
      </c>
      <c r="D16" s="4" t="s">
        <v>45</v>
      </c>
      <c r="E16" s="97" t="e">
        <f>#REF!</f>
        <v>#REF!</v>
      </c>
      <c r="F16" s="12" t="s">
        <v>16</v>
      </c>
      <c r="G16" s="57">
        <v>83.65</v>
      </c>
      <c r="H16" s="57">
        <v>0.03</v>
      </c>
      <c r="I16" s="57">
        <f t="shared" si="0"/>
        <v>83.68</v>
      </c>
      <c r="J16" s="57">
        <v>1.1599999999999999</v>
      </c>
      <c r="K16" s="60">
        <f t="shared" si="1"/>
        <v>84.84</v>
      </c>
      <c r="L16" s="60">
        <v>2.81</v>
      </c>
      <c r="M16" s="57">
        <v>3.12</v>
      </c>
      <c r="N16" s="57">
        <f t="shared" si="2"/>
        <v>90.77000000000001</v>
      </c>
      <c r="O16" s="60">
        <v>18</v>
      </c>
      <c r="P16" s="81">
        <f t="shared" si="3"/>
        <v>108.77000000000001</v>
      </c>
      <c r="Q16" s="57">
        <f t="shared" si="16"/>
        <v>18.490900000000003</v>
      </c>
      <c r="R16" s="60">
        <f t="shared" si="4"/>
        <v>127.26090000000002</v>
      </c>
      <c r="S16" s="65">
        <f t="shared" si="5"/>
        <v>0.37440000000000001</v>
      </c>
      <c r="T16" s="61">
        <f t="shared" si="18"/>
        <v>0.15600000000000003</v>
      </c>
      <c r="U16" s="61"/>
      <c r="V16" s="66"/>
      <c r="W16" s="61"/>
      <c r="X16" s="57">
        <f t="shared" si="6"/>
        <v>2.4960000000000006E-2</v>
      </c>
      <c r="Y16" s="65">
        <f t="shared" si="7"/>
        <v>124.69626000000001</v>
      </c>
      <c r="Z16" s="64" t="e">
        <f>#REF!</f>
        <v>#REF!</v>
      </c>
      <c r="AA16" s="65" t="e">
        <f t="shared" si="8"/>
        <v>#REF!</v>
      </c>
      <c r="AB16" s="65">
        <v>0</v>
      </c>
      <c r="AC16" s="65" t="e">
        <f t="shared" si="9"/>
        <v>#REF!</v>
      </c>
      <c r="AD16" s="65" t="e">
        <f t="shared" si="10"/>
        <v>#REF!</v>
      </c>
      <c r="AE16" s="40"/>
      <c r="AF16" s="37">
        <f t="shared" si="11"/>
        <v>2.9660000000000002</v>
      </c>
      <c r="AG16" s="46" t="e">
        <f t="shared" si="12"/>
        <v>#REF!</v>
      </c>
      <c r="AH16" s="47">
        <f t="shared" si="13"/>
        <v>0.55536000000000008</v>
      </c>
      <c r="AI16" s="47" t="e">
        <f t="shared" si="14"/>
        <v>#REF!</v>
      </c>
      <c r="AJ16" s="47" t="e">
        <f t="shared" si="15"/>
        <v>#REF!</v>
      </c>
    </row>
    <row r="17" spans="1:36" s="22" customFormat="1" ht="15" customHeight="1" x14ac:dyDescent="0.2">
      <c r="A17" s="39">
        <f t="shared" si="17"/>
        <v>9</v>
      </c>
      <c r="B17" s="38" t="s">
        <v>122</v>
      </c>
      <c r="C17" s="38" t="str">
        <f>'PMG Master'!C29</f>
        <v>Haryana Petroleum Service</v>
      </c>
      <c r="D17" s="4" t="s">
        <v>15</v>
      </c>
      <c r="E17" s="97" t="e">
        <f>#REF!</f>
        <v>#REF!</v>
      </c>
      <c r="F17" s="12" t="s">
        <v>16</v>
      </c>
      <c r="G17" s="57">
        <v>83.65</v>
      </c>
      <c r="H17" s="57">
        <v>0.03</v>
      </c>
      <c r="I17" s="57">
        <f t="shared" si="0"/>
        <v>83.68</v>
      </c>
      <c r="J17" s="57">
        <v>1.1599999999999999</v>
      </c>
      <c r="K17" s="60">
        <f t="shared" si="1"/>
        <v>84.84</v>
      </c>
      <c r="L17" s="60">
        <v>2.81</v>
      </c>
      <c r="M17" s="57">
        <v>3.12</v>
      </c>
      <c r="N17" s="57">
        <f t="shared" si="2"/>
        <v>90.77000000000001</v>
      </c>
      <c r="O17" s="60">
        <v>18</v>
      </c>
      <c r="P17" s="81">
        <f t="shared" si="3"/>
        <v>108.77000000000001</v>
      </c>
      <c r="Q17" s="57">
        <f t="shared" si="16"/>
        <v>18.490900000000003</v>
      </c>
      <c r="R17" s="60">
        <f t="shared" si="4"/>
        <v>127.26090000000002</v>
      </c>
      <c r="S17" s="65">
        <f t="shared" si="5"/>
        <v>0.37440000000000001</v>
      </c>
      <c r="T17" s="61">
        <f t="shared" si="18"/>
        <v>0.15600000000000003</v>
      </c>
      <c r="U17" s="61"/>
      <c r="V17" s="66"/>
      <c r="W17" s="61"/>
      <c r="X17" s="57">
        <f t="shared" si="6"/>
        <v>2.4960000000000006E-2</v>
      </c>
      <c r="Y17" s="65">
        <f t="shared" si="7"/>
        <v>124.69626000000001</v>
      </c>
      <c r="Z17" s="64" t="e">
        <f>#REF!</f>
        <v>#REF!</v>
      </c>
      <c r="AA17" s="65" t="e">
        <f t="shared" si="8"/>
        <v>#REF!</v>
      </c>
      <c r="AB17" s="65">
        <v>0</v>
      </c>
      <c r="AC17" s="65" t="e">
        <f t="shared" si="9"/>
        <v>#REF!</v>
      </c>
      <c r="AD17" s="65" t="e">
        <f t="shared" si="10"/>
        <v>#REF!</v>
      </c>
      <c r="AE17" s="40"/>
      <c r="AF17" s="37">
        <f t="shared" si="11"/>
        <v>2.9660000000000002</v>
      </c>
      <c r="AG17" s="46" t="e">
        <f t="shared" si="12"/>
        <v>#REF!</v>
      </c>
      <c r="AH17" s="47">
        <f t="shared" si="13"/>
        <v>0.55536000000000008</v>
      </c>
      <c r="AI17" s="47" t="e">
        <f t="shared" si="14"/>
        <v>#REF!</v>
      </c>
      <c r="AJ17" s="47" t="e">
        <f t="shared" si="15"/>
        <v>#REF!</v>
      </c>
    </row>
    <row r="18" spans="1:36" s="22" customFormat="1" ht="15" customHeight="1" x14ac:dyDescent="0.2">
      <c r="A18" s="39">
        <f t="shared" si="17"/>
        <v>10</v>
      </c>
      <c r="B18" s="38" t="s">
        <v>120</v>
      </c>
      <c r="C18" s="38" t="str">
        <f>'PMG Master'!C30</f>
        <v>Al-Subhan Petroleum</v>
      </c>
      <c r="D18" s="4" t="s">
        <v>15</v>
      </c>
      <c r="E18" s="97" t="e">
        <f>#REF!</f>
        <v>#REF!</v>
      </c>
      <c r="F18" s="12" t="s">
        <v>16</v>
      </c>
      <c r="G18" s="57">
        <v>83.65</v>
      </c>
      <c r="H18" s="57">
        <v>0.03</v>
      </c>
      <c r="I18" s="57">
        <f t="shared" si="0"/>
        <v>83.68</v>
      </c>
      <c r="J18" s="57">
        <v>1.1599999999999999</v>
      </c>
      <c r="K18" s="60">
        <f t="shared" si="1"/>
        <v>84.84</v>
      </c>
      <c r="L18" s="60">
        <v>2.81</v>
      </c>
      <c r="M18" s="57">
        <v>3.12</v>
      </c>
      <c r="N18" s="57">
        <f t="shared" si="2"/>
        <v>90.77000000000001</v>
      </c>
      <c r="O18" s="60">
        <v>18</v>
      </c>
      <c r="P18" s="81">
        <f t="shared" si="3"/>
        <v>108.77000000000001</v>
      </c>
      <c r="Q18" s="57">
        <f t="shared" si="16"/>
        <v>18.490900000000003</v>
      </c>
      <c r="R18" s="60">
        <f t="shared" si="4"/>
        <v>127.26090000000002</v>
      </c>
      <c r="S18" s="65">
        <f t="shared" si="5"/>
        <v>0.37440000000000001</v>
      </c>
      <c r="T18" s="61">
        <f t="shared" si="18"/>
        <v>0.15600000000000003</v>
      </c>
      <c r="U18" s="61"/>
      <c r="V18" s="66"/>
      <c r="W18" s="61"/>
      <c r="X18" s="57">
        <f t="shared" si="6"/>
        <v>2.4960000000000006E-2</v>
      </c>
      <c r="Y18" s="65">
        <f t="shared" si="7"/>
        <v>124.69626000000001</v>
      </c>
      <c r="Z18" s="64" t="e">
        <f>#REF!</f>
        <v>#REF!</v>
      </c>
      <c r="AA18" s="65" t="e">
        <f t="shared" si="8"/>
        <v>#REF!</v>
      </c>
      <c r="AB18" s="65">
        <v>0</v>
      </c>
      <c r="AC18" s="65" t="e">
        <f t="shared" si="9"/>
        <v>#REF!</v>
      </c>
      <c r="AD18" s="65" t="e">
        <f t="shared" si="10"/>
        <v>#REF!</v>
      </c>
      <c r="AE18" s="40"/>
      <c r="AF18" s="37">
        <f t="shared" si="11"/>
        <v>2.9660000000000002</v>
      </c>
      <c r="AG18" s="46" t="e">
        <f t="shared" si="12"/>
        <v>#REF!</v>
      </c>
      <c r="AH18" s="47">
        <f t="shared" si="13"/>
        <v>0.55536000000000008</v>
      </c>
      <c r="AI18" s="47" t="e">
        <f t="shared" si="14"/>
        <v>#REF!</v>
      </c>
      <c r="AJ18" s="47" t="e">
        <f t="shared" si="15"/>
        <v>#REF!</v>
      </c>
    </row>
    <row r="19" spans="1:36" s="22" customFormat="1" ht="15" customHeight="1" x14ac:dyDescent="0.2">
      <c r="A19" s="39">
        <f t="shared" si="17"/>
        <v>11</v>
      </c>
      <c r="B19" s="38" t="s">
        <v>118</v>
      </c>
      <c r="C19" s="38" t="str">
        <f>'PMG Master'!C33</f>
        <v>Warraich Petroleum</v>
      </c>
      <c r="D19" s="4" t="s">
        <v>51</v>
      </c>
      <c r="E19" s="97" t="e">
        <f>#REF!</f>
        <v>#REF!</v>
      </c>
      <c r="F19" s="12" t="s">
        <v>13</v>
      </c>
      <c r="G19" s="57">
        <v>83.65</v>
      </c>
      <c r="H19" s="57">
        <v>0.03</v>
      </c>
      <c r="I19" s="57">
        <f t="shared" si="0"/>
        <v>83.68</v>
      </c>
      <c r="J19" s="57">
        <v>1.1599999999999999</v>
      </c>
      <c r="K19" s="60">
        <f t="shared" si="1"/>
        <v>84.84</v>
      </c>
      <c r="L19" s="60">
        <v>2.81</v>
      </c>
      <c r="M19" s="57">
        <v>3.12</v>
      </c>
      <c r="N19" s="57">
        <f t="shared" si="2"/>
        <v>90.77000000000001</v>
      </c>
      <c r="O19" s="60">
        <v>18</v>
      </c>
      <c r="P19" s="81">
        <f t="shared" si="3"/>
        <v>108.77000000000001</v>
      </c>
      <c r="Q19" s="57">
        <f t="shared" si="16"/>
        <v>18.490900000000003</v>
      </c>
      <c r="R19" s="60">
        <f t="shared" si="4"/>
        <v>127.26090000000002</v>
      </c>
      <c r="S19" s="65">
        <f t="shared" si="5"/>
        <v>0.37440000000000001</v>
      </c>
      <c r="T19" s="61">
        <f t="shared" si="18"/>
        <v>0.15600000000000003</v>
      </c>
      <c r="U19" s="61"/>
      <c r="V19" s="66"/>
      <c r="W19" s="61"/>
      <c r="X19" s="57">
        <f t="shared" si="6"/>
        <v>2.4960000000000006E-2</v>
      </c>
      <c r="Y19" s="65">
        <f t="shared" si="7"/>
        <v>124.69626000000001</v>
      </c>
      <c r="Z19" s="64" t="e">
        <f>#REF!</f>
        <v>#REF!</v>
      </c>
      <c r="AA19" s="65" t="e">
        <f t="shared" si="8"/>
        <v>#REF!</v>
      </c>
      <c r="AB19" s="65">
        <v>0</v>
      </c>
      <c r="AC19" s="65" t="e">
        <f t="shared" si="9"/>
        <v>#REF!</v>
      </c>
      <c r="AD19" s="65" t="e">
        <f t="shared" si="10"/>
        <v>#REF!</v>
      </c>
      <c r="AE19" s="40"/>
      <c r="AF19" s="37">
        <f t="shared" si="11"/>
        <v>2.9660000000000002</v>
      </c>
      <c r="AG19" s="46" t="e">
        <f t="shared" si="12"/>
        <v>#REF!</v>
      </c>
      <c r="AH19" s="47">
        <f t="shared" si="13"/>
        <v>0.55536000000000008</v>
      </c>
      <c r="AI19" s="47" t="e">
        <f t="shared" si="14"/>
        <v>#REF!</v>
      </c>
      <c r="AJ19" s="47" t="e">
        <f t="shared" si="15"/>
        <v>#REF!</v>
      </c>
    </row>
    <row r="20" spans="1:36" s="22" customFormat="1" ht="15" customHeight="1" x14ac:dyDescent="0.2">
      <c r="A20" s="39">
        <f t="shared" si="17"/>
        <v>12</v>
      </c>
      <c r="B20" s="38" t="str">
        <f>'PMG Master'!B36</f>
        <v>R-00021</v>
      </c>
      <c r="C20" s="80" t="str">
        <f>'PMG Master'!C36</f>
        <v>Chauhdary Tayyab F/S</v>
      </c>
      <c r="D20" s="4" t="str">
        <f>'PMG Master'!D36</f>
        <v>Kharia-Gujrat</v>
      </c>
      <c r="E20" s="97" t="e">
        <f>#REF!</f>
        <v>#REF!</v>
      </c>
      <c r="F20" s="12" t="str">
        <f>'PMG Master'!E36</f>
        <v>DF</v>
      </c>
      <c r="G20" s="57">
        <v>83.65</v>
      </c>
      <c r="H20" s="57">
        <v>0.03</v>
      </c>
      <c r="I20" s="57">
        <f t="shared" si="0"/>
        <v>83.68</v>
      </c>
      <c r="J20" s="57">
        <v>1.1599999999999999</v>
      </c>
      <c r="K20" s="60">
        <f t="shared" si="1"/>
        <v>84.84</v>
      </c>
      <c r="L20" s="60">
        <v>2.81</v>
      </c>
      <c r="M20" s="57">
        <v>3.12</v>
      </c>
      <c r="N20" s="57">
        <f t="shared" si="2"/>
        <v>90.77000000000001</v>
      </c>
      <c r="O20" s="60">
        <v>18</v>
      </c>
      <c r="P20" s="81">
        <f t="shared" si="3"/>
        <v>108.77000000000001</v>
      </c>
      <c r="Q20" s="57">
        <f t="shared" si="16"/>
        <v>18.490900000000003</v>
      </c>
      <c r="R20" s="60">
        <f t="shared" si="4"/>
        <v>127.26090000000002</v>
      </c>
      <c r="S20" s="65">
        <f t="shared" si="5"/>
        <v>0.37440000000000001</v>
      </c>
      <c r="T20" s="61">
        <f t="shared" si="18"/>
        <v>0.15600000000000003</v>
      </c>
      <c r="U20" s="61"/>
      <c r="V20" s="66"/>
      <c r="W20" s="61"/>
      <c r="X20" s="57">
        <f t="shared" si="6"/>
        <v>2.4960000000000006E-2</v>
      </c>
      <c r="Y20" s="65">
        <f t="shared" si="7"/>
        <v>124.69626000000001</v>
      </c>
      <c r="Z20" s="64" t="e">
        <f>#REF!</f>
        <v>#REF!</v>
      </c>
      <c r="AA20" s="65" t="e">
        <f t="shared" si="8"/>
        <v>#REF!</v>
      </c>
      <c r="AB20" s="65">
        <v>0</v>
      </c>
      <c r="AC20" s="65" t="e">
        <f t="shared" si="9"/>
        <v>#REF!</v>
      </c>
      <c r="AD20" s="65" t="e">
        <f t="shared" si="10"/>
        <v>#REF!</v>
      </c>
      <c r="AE20" s="40"/>
      <c r="AF20" s="37">
        <f t="shared" si="11"/>
        <v>2.9660000000000002</v>
      </c>
      <c r="AG20" s="46" t="e">
        <f t="shared" si="12"/>
        <v>#REF!</v>
      </c>
      <c r="AH20" s="47">
        <f t="shared" si="13"/>
        <v>0.55536000000000008</v>
      </c>
      <c r="AI20" s="47" t="e">
        <f t="shared" si="14"/>
        <v>#REF!</v>
      </c>
      <c r="AJ20" s="47" t="e">
        <f t="shared" si="15"/>
        <v>#REF!</v>
      </c>
    </row>
    <row r="21" spans="1:36" s="22" customFormat="1" ht="15" customHeight="1" x14ac:dyDescent="0.2">
      <c r="A21" s="39">
        <f t="shared" si="17"/>
        <v>13</v>
      </c>
      <c r="B21" s="38" t="s">
        <v>117</v>
      </c>
      <c r="C21" s="38" t="str">
        <f>'PMG Master'!C39</f>
        <v>Jutt Petroleum</v>
      </c>
      <c r="D21" s="4" t="s">
        <v>62</v>
      </c>
      <c r="E21" s="97" t="e">
        <f>#REF!</f>
        <v>#REF!</v>
      </c>
      <c r="F21" s="12" t="s">
        <v>13</v>
      </c>
      <c r="G21" s="57">
        <v>83.65</v>
      </c>
      <c r="H21" s="57">
        <v>0.03</v>
      </c>
      <c r="I21" s="57">
        <f t="shared" si="0"/>
        <v>83.68</v>
      </c>
      <c r="J21" s="57">
        <v>1.1599999999999999</v>
      </c>
      <c r="K21" s="60">
        <f t="shared" si="1"/>
        <v>84.84</v>
      </c>
      <c r="L21" s="60">
        <v>2.81</v>
      </c>
      <c r="M21" s="57">
        <v>3.12</v>
      </c>
      <c r="N21" s="57">
        <f t="shared" si="2"/>
        <v>90.77000000000001</v>
      </c>
      <c r="O21" s="60">
        <v>18</v>
      </c>
      <c r="P21" s="81">
        <f t="shared" si="3"/>
        <v>108.77000000000001</v>
      </c>
      <c r="Q21" s="57">
        <f t="shared" si="16"/>
        <v>18.490900000000003</v>
      </c>
      <c r="R21" s="60">
        <f t="shared" si="4"/>
        <v>127.26090000000002</v>
      </c>
      <c r="S21" s="65">
        <f t="shared" si="5"/>
        <v>0.37440000000000001</v>
      </c>
      <c r="T21" s="61">
        <f t="shared" si="18"/>
        <v>0.15600000000000003</v>
      </c>
      <c r="U21" s="61"/>
      <c r="V21" s="66"/>
      <c r="W21" s="61"/>
      <c r="X21" s="57">
        <f t="shared" si="6"/>
        <v>2.4960000000000006E-2</v>
      </c>
      <c r="Y21" s="65">
        <f t="shared" si="7"/>
        <v>124.69626000000001</v>
      </c>
      <c r="Z21" s="64" t="e">
        <f>#REF!</f>
        <v>#REF!</v>
      </c>
      <c r="AA21" s="65" t="e">
        <f t="shared" si="8"/>
        <v>#REF!</v>
      </c>
      <c r="AB21" s="65">
        <v>0</v>
      </c>
      <c r="AC21" s="65" t="e">
        <f t="shared" si="9"/>
        <v>#REF!</v>
      </c>
      <c r="AD21" s="65" t="e">
        <f t="shared" si="10"/>
        <v>#REF!</v>
      </c>
      <c r="AE21" s="40"/>
      <c r="AF21" s="37">
        <f t="shared" si="11"/>
        <v>2.9660000000000002</v>
      </c>
      <c r="AG21" s="46" t="e">
        <f t="shared" si="12"/>
        <v>#REF!</v>
      </c>
      <c r="AH21" s="47">
        <f t="shared" si="13"/>
        <v>0.55536000000000008</v>
      </c>
      <c r="AI21" s="47" t="e">
        <f t="shared" si="14"/>
        <v>#REF!</v>
      </c>
      <c r="AJ21" s="47" t="e">
        <f t="shared" si="15"/>
        <v>#REF!</v>
      </c>
    </row>
    <row r="22" spans="1:36" s="22" customFormat="1" ht="15" x14ac:dyDescent="0.2">
      <c r="A22" s="39">
        <f t="shared" si="17"/>
        <v>14</v>
      </c>
      <c r="B22" s="38" t="s">
        <v>116</v>
      </c>
      <c r="C22" s="38" t="str">
        <f>'PMG Master'!C48</f>
        <v>Ahsan Petroleum</v>
      </c>
      <c r="D22" s="4" t="s">
        <v>31</v>
      </c>
      <c r="E22" s="97" t="e">
        <f>#REF!</f>
        <v>#REF!</v>
      </c>
      <c r="F22" s="12" t="s">
        <v>16</v>
      </c>
      <c r="G22" s="57">
        <v>83.65</v>
      </c>
      <c r="H22" s="57">
        <v>0.03</v>
      </c>
      <c r="I22" s="57">
        <f t="shared" si="0"/>
        <v>83.68</v>
      </c>
      <c r="J22" s="57">
        <v>1.1599999999999999</v>
      </c>
      <c r="K22" s="60">
        <f t="shared" si="1"/>
        <v>84.84</v>
      </c>
      <c r="L22" s="60">
        <v>2.81</v>
      </c>
      <c r="M22" s="57">
        <v>3.12</v>
      </c>
      <c r="N22" s="57">
        <f t="shared" si="2"/>
        <v>90.77000000000001</v>
      </c>
      <c r="O22" s="60">
        <v>18</v>
      </c>
      <c r="P22" s="81">
        <f t="shared" si="3"/>
        <v>108.77000000000001</v>
      </c>
      <c r="Q22" s="57">
        <f t="shared" si="16"/>
        <v>18.490900000000003</v>
      </c>
      <c r="R22" s="60">
        <f t="shared" si="4"/>
        <v>127.26090000000002</v>
      </c>
      <c r="S22" s="65">
        <f t="shared" si="5"/>
        <v>0.37440000000000001</v>
      </c>
      <c r="T22" s="61">
        <f t="shared" si="18"/>
        <v>0.15600000000000003</v>
      </c>
      <c r="U22" s="69"/>
      <c r="V22" s="69"/>
      <c r="W22" s="69"/>
      <c r="X22" s="57">
        <f t="shared" si="6"/>
        <v>2.4960000000000006E-2</v>
      </c>
      <c r="Y22" s="65">
        <f t="shared" si="7"/>
        <v>124.69626000000001</v>
      </c>
      <c r="Z22" s="64" t="e">
        <f>#REF!</f>
        <v>#REF!</v>
      </c>
      <c r="AA22" s="65" t="e">
        <f t="shared" si="8"/>
        <v>#REF!</v>
      </c>
      <c r="AB22" s="65">
        <v>0</v>
      </c>
      <c r="AC22" s="65" t="e">
        <f t="shared" si="9"/>
        <v>#REF!</v>
      </c>
      <c r="AD22" s="65" t="e">
        <f t="shared" si="10"/>
        <v>#REF!</v>
      </c>
      <c r="AF22" s="37">
        <f t="shared" si="11"/>
        <v>2.9660000000000002</v>
      </c>
      <c r="AG22" s="46" t="e">
        <f t="shared" si="12"/>
        <v>#REF!</v>
      </c>
      <c r="AH22" s="47">
        <f t="shared" si="13"/>
        <v>0.55536000000000008</v>
      </c>
      <c r="AI22" s="47" t="e">
        <f t="shared" si="14"/>
        <v>#REF!</v>
      </c>
      <c r="AJ22" s="47" t="e">
        <f t="shared" si="15"/>
        <v>#REF!</v>
      </c>
    </row>
    <row r="23" spans="1:36" s="22" customFormat="1" ht="15" x14ac:dyDescent="0.2">
      <c r="A23" s="39">
        <f t="shared" si="17"/>
        <v>15</v>
      </c>
      <c r="B23" s="38" t="s">
        <v>135</v>
      </c>
      <c r="C23" s="38" t="str">
        <f>'PMG Master'!C49</f>
        <v>CNG Power</v>
      </c>
      <c r="D23" s="4" t="s">
        <v>9</v>
      </c>
      <c r="E23" s="97" t="e">
        <f>#REF!</f>
        <v>#REF!</v>
      </c>
      <c r="F23" s="12" t="s">
        <v>10</v>
      </c>
      <c r="G23" s="57">
        <v>83.65</v>
      </c>
      <c r="H23" s="57">
        <v>0.03</v>
      </c>
      <c r="I23" s="57">
        <f t="shared" si="0"/>
        <v>83.68</v>
      </c>
      <c r="J23" s="57">
        <v>1.1599999999999999</v>
      </c>
      <c r="K23" s="60">
        <f t="shared" si="1"/>
        <v>84.84</v>
      </c>
      <c r="L23" s="60">
        <v>2.81</v>
      </c>
      <c r="M23" s="57">
        <v>3.12</v>
      </c>
      <c r="N23" s="57">
        <f t="shared" si="2"/>
        <v>90.77000000000001</v>
      </c>
      <c r="O23" s="60">
        <v>18</v>
      </c>
      <c r="P23" s="81">
        <f t="shared" si="3"/>
        <v>108.77000000000001</v>
      </c>
      <c r="Q23" s="57">
        <f t="shared" si="16"/>
        <v>18.490900000000003</v>
      </c>
      <c r="R23" s="60">
        <f t="shared" si="4"/>
        <v>127.26090000000002</v>
      </c>
      <c r="S23" s="65">
        <f t="shared" si="5"/>
        <v>0.37440000000000001</v>
      </c>
      <c r="T23" s="61">
        <f>M23*0.08</f>
        <v>0.24960000000000002</v>
      </c>
      <c r="U23" s="61">
        <v>0.06</v>
      </c>
      <c r="V23" s="61">
        <v>0.02</v>
      </c>
      <c r="W23" s="69"/>
      <c r="X23" s="57">
        <f t="shared" si="6"/>
        <v>5.2736000000000005E-2</v>
      </c>
      <c r="Y23" s="65">
        <f t="shared" si="7"/>
        <v>124.89763600000001</v>
      </c>
      <c r="Z23" s="64" t="e">
        <f>#REF!</f>
        <v>#REF!</v>
      </c>
      <c r="AA23" s="65" t="e">
        <f t="shared" si="8"/>
        <v>#REF!</v>
      </c>
      <c r="AB23" s="65">
        <v>0</v>
      </c>
      <c r="AC23" s="65" t="e">
        <f t="shared" si="9"/>
        <v>#REF!</v>
      </c>
      <c r="AD23" s="65" t="e">
        <f t="shared" si="10"/>
        <v>#REF!</v>
      </c>
      <c r="AF23" s="50">
        <f t="shared" si="11"/>
        <v>3.1396000000000002</v>
      </c>
      <c r="AG23" s="52" t="e">
        <f t="shared" si="12"/>
        <v>#REF!</v>
      </c>
      <c r="AH23" s="53">
        <f t="shared" si="13"/>
        <v>0.69673600000000002</v>
      </c>
      <c r="AI23" s="53" t="e">
        <f t="shared" si="14"/>
        <v>#REF!</v>
      </c>
      <c r="AJ23" s="47" t="e">
        <f t="shared" si="15"/>
        <v>#REF!</v>
      </c>
    </row>
    <row r="24" spans="1:36" s="22" customFormat="1" ht="15" x14ac:dyDescent="0.2">
      <c r="A24" s="39">
        <f t="shared" si="17"/>
        <v>16</v>
      </c>
      <c r="B24" s="38" t="s">
        <v>136</v>
      </c>
      <c r="C24" s="38" t="str">
        <f>'PMG Master'!C50</f>
        <v>Shan Petroleum</v>
      </c>
      <c r="D24" s="4" t="s">
        <v>12</v>
      </c>
      <c r="E24" s="97" t="e">
        <f>#REF!</f>
        <v>#REF!</v>
      </c>
      <c r="F24" s="12" t="s">
        <v>16</v>
      </c>
      <c r="G24" s="57">
        <v>83.65</v>
      </c>
      <c r="H24" s="57">
        <v>0.03</v>
      </c>
      <c r="I24" s="57">
        <f t="shared" si="0"/>
        <v>83.68</v>
      </c>
      <c r="J24" s="57">
        <v>1.1599999999999999</v>
      </c>
      <c r="K24" s="60">
        <f t="shared" si="1"/>
        <v>84.84</v>
      </c>
      <c r="L24" s="60">
        <v>2.81</v>
      </c>
      <c r="M24" s="57">
        <v>3.12</v>
      </c>
      <c r="N24" s="57">
        <f t="shared" si="2"/>
        <v>90.77000000000001</v>
      </c>
      <c r="O24" s="60">
        <v>18</v>
      </c>
      <c r="P24" s="81">
        <f t="shared" si="3"/>
        <v>108.77000000000001</v>
      </c>
      <c r="Q24" s="57">
        <f t="shared" si="16"/>
        <v>18.490900000000003</v>
      </c>
      <c r="R24" s="60">
        <f t="shared" si="4"/>
        <v>127.26090000000002</v>
      </c>
      <c r="S24" s="65">
        <f t="shared" si="5"/>
        <v>0.37440000000000001</v>
      </c>
      <c r="T24" s="61">
        <f>M24*0.05</f>
        <v>0.15600000000000003</v>
      </c>
      <c r="U24" s="61"/>
      <c r="V24" s="61"/>
      <c r="W24" s="69"/>
      <c r="X24" s="57">
        <f t="shared" si="6"/>
        <v>2.4960000000000006E-2</v>
      </c>
      <c r="Y24" s="65">
        <f t="shared" si="7"/>
        <v>124.69626000000001</v>
      </c>
      <c r="Z24" s="64" t="e">
        <f>#REF!</f>
        <v>#REF!</v>
      </c>
      <c r="AA24" s="65" t="e">
        <f t="shared" si="8"/>
        <v>#REF!</v>
      </c>
      <c r="AB24" s="65">
        <v>0</v>
      </c>
      <c r="AC24" s="65" t="e">
        <f t="shared" si="9"/>
        <v>#REF!</v>
      </c>
      <c r="AD24" s="65" t="e">
        <f t="shared" si="10"/>
        <v>#REF!</v>
      </c>
      <c r="AF24" s="37">
        <f t="shared" si="11"/>
        <v>2.9660000000000002</v>
      </c>
      <c r="AG24" s="46" t="e">
        <f t="shared" si="12"/>
        <v>#REF!</v>
      </c>
      <c r="AH24" s="47">
        <f t="shared" si="13"/>
        <v>0.55536000000000008</v>
      </c>
      <c r="AI24" s="47" t="e">
        <f t="shared" si="14"/>
        <v>#REF!</v>
      </c>
      <c r="AJ24" s="47" t="e">
        <f t="shared" si="15"/>
        <v>#REF!</v>
      </c>
    </row>
    <row r="25" spans="1:36" ht="15" x14ac:dyDescent="0.2">
      <c r="A25" s="39">
        <f t="shared" si="17"/>
        <v>17</v>
      </c>
      <c r="B25" s="75" t="str">
        <f>'PMG Master'!B54</f>
        <v>R-00115</v>
      </c>
      <c r="C25" s="80" t="str">
        <f>'PMG Master'!C54</f>
        <v>Ashraf F/S</v>
      </c>
      <c r="D25" s="4" t="str">
        <f>'PMG Master'!D54</f>
        <v>Bhimber</v>
      </c>
      <c r="E25" s="97" t="e">
        <f>#REF!</f>
        <v>#REF!</v>
      </c>
      <c r="F25" s="12" t="s">
        <v>13</v>
      </c>
      <c r="G25" s="57">
        <v>83.65</v>
      </c>
      <c r="H25" s="57">
        <v>0.03</v>
      </c>
      <c r="I25" s="57">
        <f t="shared" si="0"/>
        <v>83.68</v>
      </c>
      <c r="J25" s="57">
        <v>1.1599999999999999</v>
      </c>
      <c r="K25" s="60">
        <f t="shared" si="1"/>
        <v>84.84</v>
      </c>
      <c r="L25" s="60">
        <v>2.81</v>
      </c>
      <c r="M25" s="57">
        <v>3.12</v>
      </c>
      <c r="N25" s="57">
        <f t="shared" si="2"/>
        <v>90.77000000000001</v>
      </c>
      <c r="O25" s="60">
        <v>18</v>
      </c>
      <c r="P25" s="81">
        <f t="shared" si="3"/>
        <v>108.77000000000001</v>
      </c>
      <c r="Q25" s="57">
        <f t="shared" si="16"/>
        <v>18.490900000000003</v>
      </c>
      <c r="R25" s="60">
        <f t="shared" si="4"/>
        <v>127.26090000000002</v>
      </c>
      <c r="S25" s="65">
        <f>M25*0.24</f>
        <v>0.74880000000000002</v>
      </c>
      <c r="T25" s="61">
        <f>M25*0.05</f>
        <v>0.15600000000000003</v>
      </c>
      <c r="U25" s="61"/>
      <c r="V25" s="61"/>
      <c r="W25" s="69"/>
      <c r="X25" s="57">
        <f t="shared" si="6"/>
        <v>2.4960000000000006E-2</v>
      </c>
      <c r="Y25" s="65">
        <f t="shared" si="7"/>
        <v>125.07066</v>
      </c>
      <c r="Z25" s="64" t="e">
        <f>#REF!</f>
        <v>#REF!</v>
      </c>
      <c r="AA25" s="65" t="e">
        <f t="shared" si="8"/>
        <v>#REF!</v>
      </c>
      <c r="AB25" s="65">
        <v>0</v>
      </c>
      <c r="AC25" s="65" t="e">
        <f t="shared" si="9"/>
        <v>#REF!</v>
      </c>
      <c r="AD25" s="65" t="e">
        <f t="shared" si="10"/>
        <v>#REF!</v>
      </c>
    </row>
    <row r="26" spans="1:36" x14ac:dyDescent="0.1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</row>
    <row r="27" spans="1:36" x14ac:dyDescent="0.15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</row>
    <row r="28" spans="1:36" x14ac:dyDescent="0.15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</row>
    <row r="29" spans="1:36" x14ac:dyDescent="0.1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</row>
    <row r="30" spans="1:36" x14ac:dyDescent="0.15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</row>
    <row r="31" spans="1:36" x14ac:dyDescent="0.15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</row>
    <row r="32" spans="1:36" x14ac:dyDescent="0.15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</row>
    <row r="33" spans="1:30" x14ac:dyDescent="0.1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</row>
    <row r="34" spans="1:30" x14ac:dyDescent="0.15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</row>
    <row r="35" spans="1:30" x14ac:dyDescent="0.1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</row>
    <row r="36" spans="1:30" x14ac:dyDescent="0.15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</row>
    <row r="37" spans="1:30" x14ac:dyDescent="0.15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</row>
    <row r="38" spans="1:30" x14ac:dyDescent="0.15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</row>
    <row r="39" spans="1:30" x14ac:dyDescent="0.15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</row>
    <row r="40" spans="1:30" x14ac:dyDescent="0.15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</row>
    <row r="41" spans="1:30" x14ac:dyDescent="0.15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</row>
    <row r="42" spans="1:30" x14ac:dyDescent="0.15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</row>
    <row r="43" spans="1:30" x14ac:dyDescent="0.1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</row>
    <row r="44" spans="1:30" x14ac:dyDescent="0.15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</row>
  </sheetData>
  <mergeCells count="25">
    <mergeCell ref="AD7:AD8"/>
    <mergeCell ref="T7:T8"/>
    <mergeCell ref="U7:W7"/>
    <mergeCell ref="X7:X8"/>
    <mergeCell ref="Z7:Z8"/>
    <mergeCell ref="AA7:AA8"/>
    <mergeCell ref="AB7:AB8"/>
    <mergeCell ref="R7:R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F7:F8"/>
    <mergeCell ref="A7:A8"/>
    <mergeCell ref="B7:B8"/>
    <mergeCell ref="C7:C8"/>
    <mergeCell ref="D7:D8"/>
    <mergeCell ref="E7:E8"/>
  </mergeCells>
  <pageMargins left="0.75" right="0.75" top="1" bottom="1" header="0.5" footer="0.5"/>
  <pageSetup scale="21" orientation="portrait" r:id="rId1"/>
  <headerFooter alignWithMargins="0"/>
  <colBreaks count="1" manualBreakCount="1">
    <brk id="3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1057E-290C-4B88-BE91-B10C3D043532}">
  <dimension ref="B1:F149"/>
  <sheetViews>
    <sheetView tabSelected="1" zoomScale="120" zoomScaleNormal="120" workbookViewId="0">
      <selection activeCell="H5" sqref="H5"/>
    </sheetView>
  </sheetViews>
  <sheetFormatPr baseColWidth="10" defaultColWidth="30.1640625" defaultRowHeight="13" x14ac:dyDescent="0.15"/>
  <cols>
    <col min="1" max="2" width="5.83203125" customWidth="1"/>
    <col min="3" max="3" width="16.1640625" customWidth="1"/>
    <col min="4" max="4" width="23.33203125" customWidth="1"/>
    <col min="5" max="5" width="49.5" customWidth="1"/>
    <col min="6" max="6" width="19.6640625" customWidth="1"/>
    <col min="7" max="7" width="5.83203125" customWidth="1"/>
  </cols>
  <sheetData>
    <row r="1" spans="2:6" ht="14" thickBot="1" x14ac:dyDescent="0.2"/>
    <row r="2" spans="2:6" ht="27" thickBot="1" x14ac:dyDescent="0.2">
      <c r="B2" s="151" t="s">
        <v>246</v>
      </c>
      <c r="C2" s="152"/>
      <c r="D2" s="152"/>
      <c r="E2" s="152"/>
      <c r="F2" s="153"/>
    </row>
    <row r="3" spans="2:6" ht="31.5" customHeight="1" x14ac:dyDescent="0.15">
      <c r="B3" s="154" t="s">
        <v>247</v>
      </c>
      <c r="C3" s="155"/>
      <c r="D3" s="155"/>
      <c r="E3" s="155"/>
      <c r="F3" s="156"/>
    </row>
    <row r="4" spans="2:6" ht="30" customHeight="1" thickBot="1" x14ac:dyDescent="0.2">
      <c r="B4" s="157"/>
      <c r="C4" s="158"/>
      <c r="D4" s="158"/>
      <c r="E4" s="158"/>
      <c r="F4" s="159"/>
    </row>
    <row r="5" spans="2:6" ht="50" customHeight="1" thickBot="1" x14ac:dyDescent="0.2">
      <c r="B5" s="102" t="s">
        <v>248</v>
      </c>
      <c r="C5" s="112" t="s">
        <v>483</v>
      </c>
      <c r="D5" s="103" t="s">
        <v>249</v>
      </c>
      <c r="E5" s="103" t="s">
        <v>250</v>
      </c>
      <c r="F5" s="114" t="s">
        <v>251</v>
      </c>
    </row>
    <row r="6" spans="2:6" ht="50" customHeight="1" x14ac:dyDescent="0.15">
      <c r="B6" s="104">
        <v>1</v>
      </c>
      <c r="C6" s="113" t="s">
        <v>484</v>
      </c>
      <c r="D6" s="108" t="s">
        <v>309</v>
      </c>
      <c r="E6" s="101" t="s">
        <v>310</v>
      </c>
      <c r="F6" s="115" t="s">
        <v>311</v>
      </c>
    </row>
    <row r="7" spans="2:6" ht="50" customHeight="1" x14ac:dyDescent="0.15">
      <c r="B7" s="104">
        <v>2</v>
      </c>
      <c r="C7" s="113" t="s">
        <v>484</v>
      </c>
      <c r="D7" s="108" t="s">
        <v>283</v>
      </c>
      <c r="E7" s="101" t="s">
        <v>284</v>
      </c>
      <c r="F7" s="115" t="s">
        <v>62</v>
      </c>
    </row>
    <row r="8" spans="2:6" ht="50" customHeight="1" x14ac:dyDescent="0.15">
      <c r="B8" s="104">
        <v>3</v>
      </c>
      <c r="C8" s="113" t="s">
        <v>484</v>
      </c>
      <c r="D8" s="100" t="s">
        <v>482</v>
      </c>
      <c r="E8" s="101" t="s">
        <v>462</v>
      </c>
      <c r="F8" s="115" t="s">
        <v>345</v>
      </c>
    </row>
    <row r="9" spans="2:6" ht="50" customHeight="1" x14ac:dyDescent="0.15">
      <c r="B9" s="104">
        <v>4</v>
      </c>
      <c r="C9" s="113" t="s">
        <v>484</v>
      </c>
      <c r="D9" s="108" t="s">
        <v>382</v>
      </c>
      <c r="E9" s="101" t="s">
        <v>383</v>
      </c>
      <c r="F9" s="115" t="s">
        <v>345</v>
      </c>
    </row>
    <row r="10" spans="2:6" ht="50" customHeight="1" x14ac:dyDescent="0.15">
      <c r="B10" s="104">
        <v>5</v>
      </c>
      <c r="C10" s="113" t="s">
        <v>484</v>
      </c>
      <c r="D10" s="108" t="s">
        <v>197</v>
      </c>
      <c r="E10" s="101" t="s">
        <v>344</v>
      </c>
      <c r="F10" s="115" t="s">
        <v>345</v>
      </c>
    </row>
    <row r="11" spans="2:6" ht="50" customHeight="1" x14ac:dyDescent="0.15">
      <c r="B11" s="104">
        <v>6</v>
      </c>
      <c r="C11" s="113" t="s">
        <v>484</v>
      </c>
      <c r="D11" s="108" t="s">
        <v>359</v>
      </c>
      <c r="E11" s="101" t="s">
        <v>360</v>
      </c>
      <c r="F11" s="115" t="s">
        <v>43</v>
      </c>
    </row>
    <row r="12" spans="2:6" ht="50" customHeight="1" x14ac:dyDescent="0.15">
      <c r="B12" s="104">
        <v>7</v>
      </c>
      <c r="C12" s="113" t="s">
        <v>484</v>
      </c>
      <c r="D12" s="108" t="s">
        <v>361</v>
      </c>
      <c r="E12" s="108" t="s">
        <v>362</v>
      </c>
      <c r="F12" s="115" t="s">
        <v>279</v>
      </c>
    </row>
    <row r="13" spans="2:6" ht="50" customHeight="1" x14ac:dyDescent="0.15">
      <c r="B13" s="104">
        <v>8</v>
      </c>
      <c r="C13" s="113" t="s">
        <v>484</v>
      </c>
      <c r="D13" s="108" t="s">
        <v>474</v>
      </c>
      <c r="E13" s="101" t="s">
        <v>365</v>
      </c>
      <c r="F13" s="115" t="s">
        <v>279</v>
      </c>
    </row>
    <row r="14" spans="2:6" ht="50" customHeight="1" x14ac:dyDescent="0.15">
      <c r="B14" s="107">
        <v>9</v>
      </c>
      <c r="C14" s="113" t="s">
        <v>484</v>
      </c>
      <c r="D14" s="108" t="s">
        <v>475</v>
      </c>
      <c r="E14" s="101" t="s">
        <v>278</v>
      </c>
      <c r="F14" s="115" t="s">
        <v>279</v>
      </c>
    </row>
    <row r="15" spans="2:6" ht="50" customHeight="1" x14ac:dyDescent="0.15">
      <c r="B15" s="107">
        <v>10</v>
      </c>
      <c r="C15" s="113" t="s">
        <v>484</v>
      </c>
      <c r="D15" s="108" t="s">
        <v>320</v>
      </c>
      <c r="E15" s="101" t="s">
        <v>321</v>
      </c>
      <c r="F15" s="115" t="s">
        <v>322</v>
      </c>
    </row>
    <row r="16" spans="2:6" ht="50" customHeight="1" x14ac:dyDescent="0.15">
      <c r="B16" s="104">
        <v>11</v>
      </c>
      <c r="C16" s="113" t="s">
        <v>484</v>
      </c>
      <c r="D16" s="108" t="s">
        <v>213</v>
      </c>
      <c r="E16" s="101" t="s">
        <v>399</v>
      </c>
      <c r="F16" s="115" t="s">
        <v>400</v>
      </c>
    </row>
    <row r="17" spans="2:6" ht="50" customHeight="1" x14ac:dyDescent="0.15">
      <c r="B17" s="104">
        <v>12</v>
      </c>
      <c r="C17" s="113" t="s">
        <v>484</v>
      </c>
      <c r="D17" s="101" t="s">
        <v>434</v>
      </c>
      <c r="E17" s="110" t="s">
        <v>435</v>
      </c>
      <c r="F17" s="115" t="s">
        <v>174</v>
      </c>
    </row>
    <row r="18" spans="2:6" ht="50" customHeight="1" x14ac:dyDescent="0.15">
      <c r="B18" s="104">
        <v>13</v>
      </c>
      <c r="C18" s="113" t="s">
        <v>484</v>
      </c>
      <c r="D18" s="108" t="s">
        <v>202</v>
      </c>
      <c r="E18" s="101" t="s">
        <v>381</v>
      </c>
      <c r="F18" s="115" t="s">
        <v>174</v>
      </c>
    </row>
    <row r="19" spans="2:6" ht="50" customHeight="1" x14ac:dyDescent="0.15">
      <c r="B19" s="104">
        <v>14</v>
      </c>
      <c r="C19" s="113" t="s">
        <v>484</v>
      </c>
      <c r="D19" s="108" t="s">
        <v>186</v>
      </c>
      <c r="E19" s="101" t="s">
        <v>187</v>
      </c>
      <c r="F19" s="115" t="s">
        <v>174</v>
      </c>
    </row>
    <row r="20" spans="2:6" ht="50" customHeight="1" x14ac:dyDescent="0.15">
      <c r="B20" s="104">
        <v>15</v>
      </c>
      <c r="C20" s="113" t="s">
        <v>484</v>
      </c>
      <c r="D20" s="108" t="s">
        <v>405</v>
      </c>
      <c r="E20" s="101" t="s">
        <v>406</v>
      </c>
      <c r="F20" s="115" t="s">
        <v>174</v>
      </c>
    </row>
    <row r="21" spans="2:6" ht="50" customHeight="1" x14ac:dyDescent="0.15">
      <c r="B21" s="104">
        <v>16</v>
      </c>
      <c r="C21" s="113" t="s">
        <v>484</v>
      </c>
      <c r="D21" s="108" t="s">
        <v>212</v>
      </c>
      <c r="E21" s="101" t="s">
        <v>393</v>
      </c>
      <c r="F21" s="115" t="s">
        <v>394</v>
      </c>
    </row>
    <row r="22" spans="2:6" ht="50" customHeight="1" x14ac:dyDescent="0.15">
      <c r="B22" s="104">
        <v>17</v>
      </c>
      <c r="C22" s="113" t="s">
        <v>484</v>
      </c>
      <c r="D22" s="101" t="s">
        <v>232</v>
      </c>
      <c r="E22" s="110" t="s">
        <v>458</v>
      </c>
      <c r="F22" s="115" t="s">
        <v>174</v>
      </c>
    </row>
    <row r="23" spans="2:6" ht="50" customHeight="1" x14ac:dyDescent="0.15">
      <c r="B23" s="104">
        <v>18</v>
      </c>
      <c r="C23" s="113" t="s">
        <v>484</v>
      </c>
      <c r="D23" s="101" t="s">
        <v>454</v>
      </c>
      <c r="E23" s="110" t="s">
        <v>455</v>
      </c>
      <c r="F23" s="115" t="s">
        <v>174</v>
      </c>
    </row>
    <row r="24" spans="2:6" ht="50" customHeight="1" x14ac:dyDescent="0.15">
      <c r="B24" s="107">
        <v>19</v>
      </c>
      <c r="C24" s="113" t="s">
        <v>484</v>
      </c>
      <c r="D24" s="101" t="s">
        <v>235</v>
      </c>
      <c r="E24" s="110" t="s">
        <v>460</v>
      </c>
      <c r="F24" s="115" t="s">
        <v>394</v>
      </c>
    </row>
    <row r="25" spans="2:6" ht="50" customHeight="1" x14ac:dyDescent="0.15">
      <c r="B25" s="107">
        <v>20</v>
      </c>
      <c r="C25" s="113" t="s">
        <v>484</v>
      </c>
      <c r="D25" s="100" t="s">
        <v>244</v>
      </c>
      <c r="E25" s="110" t="s">
        <v>471</v>
      </c>
      <c r="F25" s="115" t="s">
        <v>174</v>
      </c>
    </row>
    <row r="26" spans="2:6" ht="50" customHeight="1" x14ac:dyDescent="0.15">
      <c r="B26" s="104">
        <v>21</v>
      </c>
      <c r="C26" s="113" t="s">
        <v>484</v>
      </c>
      <c r="D26" s="100" t="s">
        <v>245</v>
      </c>
      <c r="E26" s="110" t="s">
        <v>473</v>
      </c>
      <c r="F26" s="115" t="s">
        <v>394</v>
      </c>
    </row>
    <row r="27" spans="2:6" ht="50" customHeight="1" x14ac:dyDescent="0.15">
      <c r="B27" s="104">
        <v>22</v>
      </c>
      <c r="C27" s="113" t="s">
        <v>484</v>
      </c>
      <c r="D27" s="108" t="s">
        <v>418</v>
      </c>
      <c r="E27" s="101" t="s">
        <v>419</v>
      </c>
      <c r="F27" s="115" t="s">
        <v>292</v>
      </c>
    </row>
    <row r="28" spans="2:6" ht="50" customHeight="1" x14ac:dyDescent="0.15">
      <c r="B28" s="104">
        <v>23</v>
      </c>
      <c r="C28" s="113" t="s">
        <v>484</v>
      </c>
      <c r="D28" s="108" t="s">
        <v>476</v>
      </c>
      <c r="E28" s="101" t="s">
        <v>387</v>
      </c>
      <c r="F28" s="115" t="s">
        <v>292</v>
      </c>
    </row>
    <row r="29" spans="2:6" ht="50" customHeight="1" x14ac:dyDescent="0.15">
      <c r="B29" s="104">
        <v>24</v>
      </c>
      <c r="C29" s="113" t="s">
        <v>484</v>
      </c>
      <c r="D29" s="108" t="s">
        <v>290</v>
      </c>
      <c r="E29" s="101" t="s">
        <v>291</v>
      </c>
      <c r="F29" s="115" t="s">
        <v>292</v>
      </c>
    </row>
    <row r="30" spans="2:6" ht="50" customHeight="1" x14ac:dyDescent="0.15">
      <c r="B30" s="104">
        <v>25</v>
      </c>
      <c r="C30" s="113" t="s">
        <v>484</v>
      </c>
      <c r="D30" s="108" t="s">
        <v>189</v>
      </c>
      <c r="E30" s="101" t="s">
        <v>293</v>
      </c>
      <c r="F30" s="115" t="s">
        <v>292</v>
      </c>
    </row>
    <row r="31" spans="2:6" ht="50" customHeight="1" x14ac:dyDescent="0.15">
      <c r="B31" s="104">
        <v>26</v>
      </c>
      <c r="C31" s="113" t="s">
        <v>484</v>
      </c>
      <c r="D31" s="100" t="s">
        <v>467</v>
      </c>
      <c r="E31" s="101" t="s">
        <v>468</v>
      </c>
      <c r="F31" s="115" t="s">
        <v>292</v>
      </c>
    </row>
    <row r="32" spans="2:6" ht="50" customHeight="1" x14ac:dyDescent="0.15">
      <c r="B32" s="104">
        <v>27</v>
      </c>
      <c r="C32" s="113" t="s">
        <v>484</v>
      </c>
      <c r="D32" s="100" t="s">
        <v>241</v>
      </c>
      <c r="E32" s="101" t="s">
        <v>469</v>
      </c>
      <c r="F32" s="115" t="s">
        <v>12</v>
      </c>
    </row>
    <row r="33" spans="2:6" ht="50" customHeight="1" x14ac:dyDescent="0.15">
      <c r="B33" s="104">
        <v>28</v>
      </c>
      <c r="C33" s="113" t="s">
        <v>484</v>
      </c>
      <c r="D33" s="101" t="s">
        <v>456</v>
      </c>
      <c r="E33" s="110" t="s">
        <v>457</v>
      </c>
      <c r="F33" s="115" t="s">
        <v>12</v>
      </c>
    </row>
    <row r="34" spans="2:6" ht="50" customHeight="1" x14ac:dyDescent="0.15">
      <c r="B34" s="107">
        <v>29</v>
      </c>
      <c r="C34" s="113" t="s">
        <v>484</v>
      </c>
      <c r="D34" s="101" t="s">
        <v>223</v>
      </c>
      <c r="E34" s="101" t="s">
        <v>422</v>
      </c>
      <c r="F34" s="115" t="s">
        <v>12</v>
      </c>
    </row>
    <row r="35" spans="2:6" ht="50" customHeight="1" x14ac:dyDescent="0.15">
      <c r="B35" s="107">
        <v>30</v>
      </c>
      <c r="C35" s="113" t="s">
        <v>484</v>
      </c>
      <c r="D35" s="108" t="s">
        <v>270</v>
      </c>
      <c r="E35" s="101" t="s">
        <v>271</v>
      </c>
      <c r="F35" s="115" t="s">
        <v>12</v>
      </c>
    </row>
    <row r="36" spans="2:6" ht="50" customHeight="1" x14ac:dyDescent="0.15">
      <c r="B36" s="104">
        <v>31</v>
      </c>
      <c r="C36" s="113" t="s">
        <v>484</v>
      </c>
      <c r="D36" s="108" t="s">
        <v>11</v>
      </c>
      <c r="E36" s="101" t="s">
        <v>308</v>
      </c>
      <c r="F36" s="115" t="s">
        <v>12</v>
      </c>
    </row>
    <row r="37" spans="2:6" ht="50" customHeight="1" x14ac:dyDescent="0.15">
      <c r="B37" s="104">
        <v>32</v>
      </c>
      <c r="C37" s="113" t="s">
        <v>484</v>
      </c>
      <c r="D37" s="108" t="s">
        <v>119</v>
      </c>
      <c r="E37" s="101" t="s">
        <v>314</v>
      </c>
      <c r="F37" s="115" t="s">
        <v>12</v>
      </c>
    </row>
    <row r="38" spans="2:6" ht="50" customHeight="1" x14ac:dyDescent="0.15">
      <c r="B38" s="104">
        <v>33</v>
      </c>
      <c r="C38" s="113" t="s">
        <v>484</v>
      </c>
      <c r="D38" s="108" t="s">
        <v>203</v>
      </c>
      <c r="E38" s="101" t="s">
        <v>380</v>
      </c>
      <c r="F38" s="115" t="s">
        <v>12</v>
      </c>
    </row>
    <row r="39" spans="2:6" ht="50" customHeight="1" x14ac:dyDescent="0.15">
      <c r="B39" s="104">
        <v>34</v>
      </c>
      <c r="C39" s="113" t="s">
        <v>484</v>
      </c>
      <c r="D39" s="100" t="s">
        <v>239</v>
      </c>
      <c r="E39" s="101" t="s">
        <v>461</v>
      </c>
      <c r="F39" s="115" t="s">
        <v>39</v>
      </c>
    </row>
    <row r="40" spans="2:6" ht="50" customHeight="1" x14ac:dyDescent="0.15">
      <c r="B40" s="104">
        <v>35</v>
      </c>
      <c r="C40" s="113" t="s">
        <v>484</v>
      </c>
      <c r="D40" s="108" t="s">
        <v>268</v>
      </c>
      <c r="E40" s="101" t="s">
        <v>188</v>
      </c>
      <c r="F40" s="115" t="s">
        <v>269</v>
      </c>
    </row>
    <row r="41" spans="2:6" ht="50" customHeight="1" x14ac:dyDescent="0.15">
      <c r="B41" s="104">
        <v>36</v>
      </c>
      <c r="C41" s="113" t="s">
        <v>484</v>
      </c>
      <c r="D41" s="108" t="s">
        <v>317</v>
      </c>
      <c r="E41" s="101" t="s">
        <v>318</v>
      </c>
      <c r="F41" s="115" t="s">
        <v>319</v>
      </c>
    </row>
    <row r="42" spans="2:6" ht="50" customHeight="1" x14ac:dyDescent="0.15">
      <c r="B42" s="104">
        <v>37</v>
      </c>
      <c r="C42" s="113" t="s">
        <v>484</v>
      </c>
      <c r="D42" s="108" t="s">
        <v>323</v>
      </c>
      <c r="E42" s="101" t="s">
        <v>199</v>
      </c>
      <c r="F42" s="115" t="s">
        <v>319</v>
      </c>
    </row>
    <row r="43" spans="2:6" ht="50" customHeight="1" x14ac:dyDescent="0.15">
      <c r="B43" s="104">
        <v>38</v>
      </c>
      <c r="C43" s="113" t="s">
        <v>484</v>
      </c>
      <c r="D43" s="108" t="s">
        <v>333</v>
      </c>
      <c r="E43" s="101" t="s">
        <v>334</v>
      </c>
      <c r="F43" s="115" t="s">
        <v>319</v>
      </c>
    </row>
    <row r="44" spans="2:6" ht="50" customHeight="1" x14ac:dyDescent="0.15">
      <c r="B44" s="107">
        <v>39</v>
      </c>
      <c r="C44" s="113" t="s">
        <v>484</v>
      </c>
      <c r="D44" s="108" t="s">
        <v>52</v>
      </c>
      <c r="E44" s="101" t="s">
        <v>302</v>
      </c>
      <c r="F44" s="115" t="s">
        <v>269</v>
      </c>
    </row>
    <row r="45" spans="2:6" ht="50" customHeight="1" x14ac:dyDescent="0.15">
      <c r="B45" s="107">
        <v>40</v>
      </c>
      <c r="C45" s="113" t="s">
        <v>484</v>
      </c>
      <c r="D45" s="108" t="s">
        <v>391</v>
      </c>
      <c r="E45" s="101" t="s">
        <v>392</v>
      </c>
      <c r="F45" s="115" t="s">
        <v>269</v>
      </c>
    </row>
    <row r="46" spans="2:6" ht="50" customHeight="1" x14ac:dyDescent="0.15">
      <c r="B46" s="104">
        <v>41</v>
      </c>
      <c r="C46" s="113" t="s">
        <v>484</v>
      </c>
      <c r="D46" s="108" t="s">
        <v>207</v>
      </c>
      <c r="E46" s="101" t="s">
        <v>388</v>
      </c>
      <c r="F46" s="115" t="s">
        <v>269</v>
      </c>
    </row>
    <row r="47" spans="2:6" ht="50" customHeight="1" x14ac:dyDescent="0.15">
      <c r="B47" s="104">
        <v>42</v>
      </c>
      <c r="C47" s="113" t="s">
        <v>484</v>
      </c>
      <c r="D47" s="100" t="s">
        <v>242</v>
      </c>
      <c r="E47" s="101" t="s">
        <v>470</v>
      </c>
      <c r="F47" s="115" t="s">
        <v>289</v>
      </c>
    </row>
    <row r="48" spans="2:6" ht="50" customHeight="1" x14ac:dyDescent="0.15">
      <c r="B48" s="104">
        <v>43</v>
      </c>
      <c r="C48" s="113" t="s">
        <v>484</v>
      </c>
      <c r="D48" s="108" t="s">
        <v>219</v>
      </c>
      <c r="E48" s="101" t="s">
        <v>412</v>
      </c>
      <c r="F48" s="115" t="s">
        <v>289</v>
      </c>
    </row>
    <row r="49" spans="2:6" ht="50" customHeight="1" x14ac:dyDescent="0.15">
      <c r="B49" s="104">
        <v>44</v>
      </c>
      <c r="C49" s="113" t="s">
        <v>484</v>
      </c>
      <c r="D49" s="101" t="s">
        <v>221</v>
      </c>
      <c r="E49" s="101" t="s">
        <v>423</v>
      </c>
      <c r="F49" s="115" t="s">
        <v>289</v>
      </c>
    </row>
    <row r="50" spans="2:6" ht="50" customHeight="1" x14ac:dyDescent="0.15">
      <c r="B50" s="104">
        <v>45</v>
      </c>
      <c r="C50" s="113" t="s">
        <v>484</v>
      </c>
      <c r="D50" s="101" t="s">
        <v>222</v>
      </c>
      <c r="E50" s="101" t="s">
        <v>424</v>
      </c>
      <c r="F50" s="115" t="s">
        <v>289</v>
      </c>
    </row>
    <row r="51" spans="2:6" ht="50" customHeight="1" x14ac:dyDescent="0.15">
      <c r="B51" s="104">
        <v>46</v>
      </c>
      <c r="C51" s="113" t="s">
        <v>484</v>
      </c>
      <c r="D51" s="108" t="s">
        <v>287</v>
      </c>
      <c r="E51" s="101" t="s">
        <v>288</v>
      </c>
      <c r="F51" s="115" t="s">
        <v>289</v>
      </c>
    </row>
    <row r="52" spans="2:6" ht="50" customHeight="1" x14ac:dyDescent="0.15">
      <c r="B52" s="104">
        <v>47</v>
      </c>
      <c r="C52" s="113" t="s">
        <v>484</v>
      </c>
      <c r="D52" s="108" t="s">
        <v>128</v>
      </c>
      <c r="E52" s="101" t="s">
        <v>315</v>
      </c>
      <c r="F52" s="115" t="s">
        <v>316</v>
      </c>
    </row>
    <row r="53" spans="2:6" ht="50" customHeight="1" x14ac:dyDescent="0.15">
      <c r="B53" s="104">
        <v>48</v>
      </c>
      <c r="C53" s="113" t="s">
        <v>484</v>
      </c>
      <c r="D53" s="108" t="s">
        <v>357</v>
      </c>
      <c r="E53" s="101" t="s">
        <v>358</v>
      </c>
      <c r="F53" s="115" t="s">
        <v>305</v>
      </c>
    </row>
    <row r="54" spans="2:6" ht="50" customHeight="1" x14ac:dyDescent="0.15">
      <c r="B54" s="107">
        <v>49</v>
      </c>
      <c r="C54" s="113" t="s">
        <v>484</v>
      </c>
      <c r="D54" s="108" t="s">
        <v>175</v>
      </c>
      <c r="E54" s="101" t="s">
        <v>304</v>
      </c>
      <c r="F54" s="115" t="s">
        <v>305</v>
      </c>
    </row>
    <row r="55" spans="2:6" ht="50" customHeight="1" x14ac:dyDescent="0.15">
      <c r="B55" s="107">
        <v>50</v>
      </c>
      <c r="C55" s="113" t="s">
        <v>484</v>
      </c>
      <c r="D55" s="101" t="s">
        <v>439</v>
      </c>
      <c r="E55" s="110" t="s">
        <v>440</v>
      </c>
      <c r="F55" s="115" t="s">
        <v>305</v>
      </c>
    </row>
    <row r="56" spans="2:6" ht="50" customHeight="1" x14ac:dyDescent="0.15">
      <c r="B56" s="104">
        <v>51</v>
      </c>
      <c r="C56" s="113" t="s">
        <v>484</v>
      </c>
      <c r="D56" s="108" t="s">
        <v>363</v>
      </c>
      <c r="E56" s="101" t="s">
        <v>364</v>
      </c>
      <c r="F56" s="115" t="s">
        <v>305</v>
      </c>
    </row>
    <row r="57" spans="2:6" ht="50" customHeight="1" x14ac:dyDescent="0.15">
      <c r="B57" s="104">
        <v>52</v>
      </c>
      <c r="C57" s="113" t="s">
        <v>484</v>
      </c>
      <c r="D57" s="108" t="s">
        <v>369</v>
      </c>
      <c r="E57" s="101" t="s">
        <v>370</v>
      </c>
      <c r="F57" s="115" t="s">
        <v>305</v>
      </c>
    </row>
    <row r="58" spans="2:6" ht="50" customHeight="1" x14ac:dyDescent="0.15">
      <c r="B58" s="104">
        <v>53</v>
      </c>
      <c r="C58" s="113" t="s">
        <v>484</v>
      </c>
      <c r="D58" s="108" t="s">
        <v>300</v>
      </c>
      <c r="E58" s="101" t="s">
        <v>301</v>
      </c>
      <c r="F58" s="115" t="s">
        <v>9</v>
      </c>
    </row>
    <row r="59" spans="2:6" ht="50" customHeight="1" x14ac:dyDescent="0.15">
      <c r="B59" s="104">
        <v>54</v>
      </c>
      <c r="C59" s="113" t="s">
        <v>484</v>
      </c>
      <c r="D59" s="108" t="s">
        <v>275</v>
      </c>
      <c r="E59" s="101" t="s">
        <v>180</v>
      </c>
      <c r="F59" s="115" t="s">
        <v>9</v>
      </c>
    </row>
    <row r="60" spans="2:6" ht="50" customHeight="1" x14ac:dyDescent="0.15">
      <c r="B60" s="104">
        <v>55</v>
      </c>
      <c r="C60" s="113" t="s">
        <v>484</v>
      </c>
      <c r="D60" s="108" t="s">
        <v>276</v>
      </c>
      <c r="E60" s="101" t="s">
        <v>277</v>
      </c>
      <c r="F60" s="115" t="s">
        <v>9</v>
      </c>
    </row>
    <row r="61" spans="2:6" ht="50" customHeight="1" x14ac:dyDescent="0.15">
      <c r="B61" s="104">
        <v>56</v>
      </c>
      <c r="C61" s="113" t="s">
        <v>484</v>
      </c>
      <c r="D61" s="101" t="s">
        <v>430</v>
      </c>
      <c r="E61" s="101" t="s">
        <v>431</v>
      </c>
      <c r="F61" s="115" t="s">
        <v>9</v>
      </c>
    </row>
    <row r="62" spans="2:6" ht="50" customHeight="1" x14ac:dyDescent="0.15">
      <c r="B62" s="104">
        <v>57</v>
      </c>
      <c r="C62" s="113" t="s">
        <v>484</v>
      </c>
      <c r="D62" s="101" t="s">
        <v>432</v>
      </c>
      <c r="E62" s="101" t="s">
        <v>433</v>
      </c>
      <c r="F62" s="115" t="s">
        <v>9</v>
      </c>
    </row>
    <row r="63" spans="2:6" ht="50" customHeight="1" x14ac:dyDescent="0.15">
      <c r="B63" s="104">
        <v>58</v>
      </c>
      <c r="C63" s="113" t="s">
        <v>484</v>
      </c>
      <c r="D63" s="101" t="s">
        <v>477</v>
      </c>
      <c r="E63" s="101" t="s">
        <v>438</v>
      </c>
      <c r="F63" s="115" t="s">
        <v>9</v>
      </c>
    </row>
    <row r="64" spans="2:6" ht="50" customHeight="1" x14ac:dyDescent="0.15">
      <c r="B64" s="107">
        <v>59</v>
      </c>
      <c r="C64" s="113" t="s">
        <v>484</v>
      </c>
      <c r="D64" s="100" t="s">
        <v>464</v>
      </c>
      <c r="E64" s="101" t="s">
        <v>465</v>
      </c>
      <c r="F64" s="115" t="s">
        <v>9</v>
      </c>
    </row>
    <row r="65" spans="2:6" ht="50" customHeight="1" x14ac:dyDescent="0.15">
      <c r="B65" s="107">
        <v>60</v>
      </c>
      <c r="C65" s="113" t="s">
        <v>484</v>
      </c>
      <c r="D65" s="108" t="s">
        <v>478</v>
      </c>
      <c r="E65" s="101" t="s">
        <v>401</v>
      </c>
      <c r="F65" s="115" t="s">
        <v>9</v>
      </c>
    </row>
    <row r="66" spans="2:6" ht="50" customHeight="1" x14ac:dyDescent="0.15">
      <c r="B66" s="104">
        <v>61</v>
      </c>
      <c r="C66" s="113" t="s">
        <v>484</v>
      </c>
      <c r="D66" s="108" t="s">
        <v>479</v>
      </c>
      <c r="E66" s="101" t="s">
        <v>404</v>
      </c>
      <c r="F66" s="115" t="s">
        <v>9</v>
      </c>
    </row>
    <row r="67" spans="2:6" ht="50" customHeight="1" x14ac:dyDescent="0.15">
      <c r="B67" s="104">
        <v>62</v>
      </c>
      <c r="C67" s="113" t="s">
        <v>484</v>
      </c>
      <c r="D67" s="108" t="s">
        <v>215</v>
      </c>
      <c r="E67" s="101" t="s">
        <v>411</v>
      </c>
      <c r="F67" s="115" t="s">
        <v>9</v>
      </c>
    </row>
    <row r="68" spans="2:6" ht="50" customHeight="1" x14ac:dyDescent="0.15">
      <c r="B68" s="104">
        <v>63</v>
      </c>
      <c r="C68" s="113" t="s">
        <v>484</v>
      </c>
      <c r="D68" s="108" t="s">
        <v>416</v>
      </c>
      <c r="E68" s="101" t="s">
        <v>417</v>
      </c>
      <c r="F68" s="115" t="s">
        <v>9</v>
      </c>
    </row>
    <row r="69" spans="2:6" ht="50" customHeight="1" x14ac:dyDescent="0.15">
      <c r="B69" s="104">
        <v>64</v>
      </c>
      <c r="C69" s="113" t="s">
        <v>484</v>
      </c>
      <c r="D69" s="101" t="s">
        <v>480</v>
      </c>
      <c r="E69" s="101" t="s">
        <v>421</v>
      </c>
      <c r="F69" s="115" t="s">
        <v>9</v>
      </c>
    </row>
    <row r="70" spans="2:6" ht="50" customHeight="1" x14ac:dyDescent="0.15">
      <c r="B70" s="104">
        <v>65</v>
      </c>
      <c r="C70" s="113" t="s">
        <v>484</v>
      </c>
      <c r="D70" s="101" t="s">
        <v>446</v>
      </c>
      <c r="E70" s="110" t="s">
        <v>447</v>
      </c>
      <c r="F70" s="115" t="s">
        <v>9</v>
      </c>
    </row>
    <row r="71" spans="2:6" ht="50" customHeight="1" x14ac:dyDescent="0.15">
      <c r="B71" s="104">
        <v>66</v>
      </c>
      <c r="C71" s="113" t="s">
        <v>484</v>
      </c>
      <c r="D71" s="111" t="s">
        <v>227</v>
      </c>
      <c r="E71" s="110" t="s">
        <v>441</v>
      </c>
      <c r="F71" s="115" t="s">
        <v>9</v>
      </c>
    </row>
    <row r="72" spans="2:6" ht="50" customHeight="1" x14ac:dyDescent="0.15">
      <c r="B72" s="104">
        <v>67</v>
      </c>
      <c r="C72" s="113" t="s">
        <v>484</v>
      </c>
      <c r="D72" s="108" t="s">
        <v>413</v>
      </c>
      <c r="E72" s="101" t="s">
        <v>414</v>
      </c>
      <c r="F72" s="115" t="s">
        <v>415</v>
      </c>
    </row>
    <row r="73" spans="2:6" ht="50" customHeight="1" x14ac:dyDescent="0.15">
      <c r="B73" s="104">
        <v>68</v>
      </c>
      <c r="C73" s="113" t="s">
        <v>484</v>
      </c>
      <c r="D73" s="108" t="s">
        <v>266</v>
      </c>
      <c r="E73" s="101" t="s">
        <v>267</v>
      </c>
      <c r="F73" s="115" t="s">
        <v>15</v>
      </c>
    </row>
    <row r="74" spans="2:6" ht="50" customHeight="1" x14ac:dyDescent="0.15">
      <c r="B74" s="107">
        <v>69</v>
      </c>
      <c r="C74" s="113" t="s">
        <v>484</v>
      </c>
      <c r="D74" s="108" t="s">
        <v>123</v>
      </c>
      <c r="E74" s="101" t="s">
        <v>285</v>
      </c>
      <c r="F74" s="115" t="s">
        <v>15</v>
      </c>
    </row>
    <row r="75" spans="2:6" ht="50" customHeight="1" x14ac:dyDescent="0.15">
      <c r="B75" s="107">
        <v>70</v>
      </c>
      <c r="C75" s="113" t="s">
        <v>484</v>
      </c>
      <c r="D75" s="108" t="s">
        <v>236</v>
      </c>
      <c r="E75" s="101" t="s">
        <v>286</v>
      </c>
      <c r="F75" s="115" t="s">
        <v>15</v>
      </c>
    </row>
    <row r="76" spans="2:6" ht="50" customHeight="1" x14ac:dyDescent="0.15">
      <c r="B76" s="104">
        <v>71</v>
      </c>
      <c r="C76" s="113" t="s">
        <v>484</v>
      </c>
      <c r="D76" s="108" t="s">
        <v>234</v>
      </c>
      <c r="E76" s="101" t="s">
        <v>179</v>
      </c>
      <c r="F76" s="115" t="s">
        <v>15</v>
      </c>
    </row>
    <row r="77" spans="2:6" ht="50" customHeight="1" x14ac:dyDescent="0.15">
      <c r="B77" s="104">
        <v>72</v>
      </c>
      <c r="C77" s="113" t="s">
        <v>484</v>
      </c>
      <c r="D77" s="108" t="s">
        <v>313</v>
      </c>
      <c r="E77" s="101" t="s">
        <v>177</v>
      </c>
      <c r="F77" s="115" t="s">
        <v>15</v>
      </c>
    </row>
    <row r="78" spans="2:6" ht="50" customHeight="1" x14ac:dyDescent="0.15">
      <c r="B78" s="104">
        <v>73</v>
      </c>
      <c r="C78" s="113" t="s">
        <v>484</v>
      </c>
      <c r="D78" s="108" t="s">
        <v>233</v>
      </c>
      <c r="E78" s="101" t="s">
        <v>204</v>
      </c>
      <c r="F78" s="115" t="s">
        <v>15</v>
      </c>
    </row>
    <row r="79" spans="2:6" ht="50" customHeight="1" x14ac:dyDescent="0.15">
      <c r="B79" s="104">
        <v>74</v>
      </c>
      <c r="C79" s="113" t="s">
        <v>484</v>
      </c>
      <c r="D79" s="108" t="s">
        <v>324</v>
      </c>
      <c r="E79" s="101" t="s">
        <v>325</v>
      </c>
      <c r="F79" s="115" t="s">
        <v>15</v>
      </c>
    </row>
    <row r="80" spans="2:6" ht="50" customHeight="1" x14ac:dyDescent="0.15">
      <c r="B80" s="104">
        <v>75</v>
      </c>
      <c r="C80" s="113" t="s">
        <v>484</v>
      </c>
      <c r="D80" s="108" t="s">
        <v>326</v>
      </c>
      <c r="E80" s="101" t="s">
        <v>327</v>
      </c>
      <c r="F80" s="115" t="s">
        <v>15</v>
      </c>
    </row>
    <row r="81" spans="2:6" ht="50" customHeight="1" x14ac:dyDescent="0.15">
      <c r="B81" s="104">
        <v>76</v>
      </c>
      <c r="C81" s="113" t="s">
        <v>484</v>
      </c>
      <c r="D81" s="108" t="s">
        <v>328</v>
      </c>
      <c r="E81" s="101" t="s">
        <v>329</v>
      </c>
      <c r="F81" s="115" t="s">
        <v>15</v>
      </c>
    </row>
    <row r="82" spans="2:6" ht="50" customHeight="1" x14ac:dyDescent="0.15">
      <c r="B82" s="104">
        <v>77</v>
      </c>
      <c r="C82" s="113" t="s">
        <v>484</v>
      </c>
      <c r="D82" s="108" t="s">
        <v>237</v>
      </c>
      <c r="E82" s="101" t="s">
        <v>330</v>
      </c>
      <c r="F82" s="115" t="s">
        <v>15</v>
      </c>
    </row>
    <row r="83" spans="2:6" ht="50" customHeight="1" x14ac:dyDescent="0.15">
      <c r="B83" s="104">
        <v>78</v>
      </c>
      <c r="C83" s="113" t="s">
        <v>484</v>
      </c>
      <c r="D83" s="108" t="s">
        <v>331</v>
      </c>
      <c r="E83" s="101" t="s">
        <v>332</v>
      </c>
      <c r="F83" s="115" t="s">
        <v>15</v>
      </c>
    </row>
    <row r="84" spans="2:6" ht="50" customHeight="1" x14ac:dyDescent="0.15">
      <c r="B84" s="107">
        <v>79</v>
      </c>
      <c r="C84" s="113" t="s">
        <v>484</v>
      </c>
      <c r="D84" s="108" t="s">
        <v>338</v>
      </c>
      <c r="E84" s="101" t="s">
        <v>339</v>
      </c>
      <c r="F84" s="115" t="s">
        <v>15</v>
      </c>
    </row>
    <row r="85" spans="2:6" ht="50" customHeight="1" x14ac:dyDescent="0.15">
      <c r="B85" s="107">
        <v>80</v>
      </c>
      <c r="C85" s="113" t="s">
        <v>484</v>
      </c>
      <c r="D85" s="108" t="s">
        <v>340</v>
      </c>
      <c r="E85" s="101" t="s">
        <v>341</v>
      </c>
      <c r="F85" s="115" t="s">
        <v>15</v>
      </c>
    </row>
    <row r="86" spans="2:6" ht="50" customHeight="1" x14ac:dyDescent="0.15">
      <c r="B86" s="104">
        <v>81</v>
      </c>
      <c r="C86" s="113" t="s">
        <v>484</v>
      </c>
      <c r="D86" s="108" t="s">
        <v>114</v>
      </c>
      <c r="E86" s="101" t="s">
        <v>303</v>
      </c>
      <c r="F86" s="115" t="s">
        <v>45</v>
      </c>
    </row>
    <row r="87" spans="2:6" ht="50" customHeight="1" x14ac:dyDescent="0.15">
      <c r="B87" s="104">
        <v>82</v>
      </c>
      <c r="C87" s="113" t="s">
        <v>484</v>
      </c>
      <c r="D87" s="108" t="s">
        <v>190</v>
      </c>
      <c r="E87" s="101" t="s">
        <v>256</v>
      </c>
      <c r="F87" s="115" t="s">
        <v>257</v>
      </c>
    </row>
    <row r="88" spans="2:6" ht="50" customHeight="1" x14ac:dyDescent="0.15">
      <c r="B88" s="104">
        <v>83</v>
      </c>
      <c r="C88" s="113" t="s">
        <v>484</v>
      </c>
      <c r="D88" s="108" t="s">
        <v>297</v>
      </c>
      <c r="E88" s="101" t="s">
        <v>298</v>
      </c>
      <c r="F88" s="115" t="s">
        <v>257</v>
      </c>
    </row>
    <row r="89" spans="2:6" ht="50" customHeight="1" x14ac:dyDescent="0.15">
      <c r="B89" s="104">
        <v>84</v>
      </c>
      <c r="C89" s="113" t="s">
        <v>484</v>
      </c>
      <c r="D89" s="108" t="s">
        <v>214</v>
      </c>
      <c r="E89" s="101" t="s">
        <v>398</v>
      </c>
      <c r="F89" s="115" t="s">
        <v>257</v>
      </c>
    </row>
    <row r="90" spans="2:6" ht="50" customHeight="1" x14ac:dyDescent="0.15">
      <c r="B90" s="104">
        <v>85</v>
      </c>
      <c r="C90" s="113" t="s">
        <v>484</v>
      </c>
      <c r="D90" s="108" t="s">
        <v>408</v>
      </c>
      <c r="E90" s="101" t="s">
        <v>409</v>
      </c>
      <c r="F90" s="115" t="s">
        <v>257</v>
      </c>
    </row>
    <row r="91" spans="2:6" ht="50" customHeight="1" x14ac:dyDescent="0.15">
      <c r="B91" s="104">
        <v>86</v>
      </c>
      <c r="C91" s="113" t="s">
        <v>484</v>
      </c>
      <c r="D91" s="101" t="s">
        <v>436</v>
      </c>
      <c r="E91" s="110" t="s">
        <v>437</v>
      </c>
      <c r="F91" s="115" t="s">
        <v>257</v>
      </c>
    </row>
    <row r="92" spans="2:6" ht="50" customHeight="1" x14ac:dyDescent="0.15">
      <c r="B92" s="104">
        <v>87</v>
      </c>
      <c r="C92" s="113" t="s">
        <v>484</v>
      </c>
      <c r="D92" s="108" t="s">
        <v>210</v>
      </c>
      <c r="E92" s="101" t="s">
        <v>389</v>
      </c>
      <c r="F92" s="115" t="s">
        <v>390</v>
      </c>
    </row>
    <row r="93" spans="2:6" ht="50" customHeight="1" x14ac:dyDescent="0.15">
      <c r="B93" s="104">
        <v>88</v>
      </c>
      <c r="C93" s="113" t="s">
        <v>484</v>
      </c>
      <c r="D93" s="108" t="s">
        <v>402</v>
      </c>
      <c r="E93" s="101" t="s">
        <v>403</v>
      </c>
      <c r="F93" s="115" t="s">
        <v>390</v>
      </c>
    </row>
    <row r="94" spans="2:6" ht="50" customHeight="1" x14ac:dyDescent="0.15">
      <c r="B94" s="107">
        <v>89</v>
      </c>
      <c r="C94" s="113" t="s">
        <v>484</v>
      </c>
      <c r="D94" s="108" t="s">
        <v>342</v>
      </c>
      <c r="E94" s="101" t="s">
        <v>343</v>
      </c>
      <c r="F94" s="115" t="s">
        <v>35</v>
      </c>
    </row>
    <row r="95" spans="2:6" ht="50" customHeight="1" x14ac:dyDescent="0.15">
      <c r="B95" s="107">
        <v>90</v>
      </c>
      <c r="C95" s="113" t="s">
        <v>484</v>
      </c>
      <c r="D95" s="108" t="s">
        <v>294</v>
      </c>
      <c r="E95" s="101" t="s">
        <v>295</v>
      </c>
      <c r="F95" s="115" t="s">
        <v>35</v>
      </c>
    </row>
    <row r="96" spans="2:6" ht="50" customHeight="1" x14ac:dyDescent="0.15">
      <c r="B96" s="104">
        <v>91</v>
      </c>
      <c r="C96" s="113" t="s">
        <v>484</v>
      </c>
      <c r="D96" s="108" t="s">
        <v>142</v>
      </c>
      <c r="E96" s="101" t="s">
        <v>299</v>
      </c>
      <c r="F96" s="115" t="s">
        <v>35</v>
      </c>
    </row>
    <row r="97" spans="2:6" ht="50" customHeight="1" x14ac:dyDescent="0.15">
      <c r="B97" s="104">
        <v>92</v>
      </c>
      <c r="C97" s="113" t="s">
        <v>484</v>
      </c>
      <c r="D97" s="108" t="s">
        <v>375</v>
      </c>
      <c r="E97" s="101" t="s">
        <v>376</v>
      </c>
      <c r="F97" s="115" t="s">
        <v>35</v>
      </c>
    </row>
    <row r="98" spans="2:6" ht="50" customHeight="1" x14ac:dyDescent="0.15">
      <c r="B98" s="104">
        <v>93</v>
      </c>
      <c r="C98" s="113" t="s">
        <v>484</v>
      </c>
      <c r="D98" s="108" t="s">
        <v>208</v>
      </c>
      <c r="E98" s="101" t="s">
        <v>397</v>
      </c>
      <c r="F98" s="115" t="s">
        <v>176</v>
      </c>
    </row>
    <row r="99" spans="2:6" ht="50" customHeight="1" x14ac:dyDescent="0.15">
      <c r="B99" s="104">
        <v>94</v>
      </c>
      <c r="C99" s="113" t="s">
        <v>484</v>
      </c>
      <c r="D99" s="108" t="s">
        <v>36</v>
      </c>
      <c r="E99" s="101" t="s">
        <v>386</v>
      </c>
      <c r="F99" s="115" t="s">
        <v>176</v>
      </c>
    </row>
    <row r="100" spans="2:6" ht="50" customHeight="1" x14ac:dyDescent="0.15">
      <c r="B100" s="104">
        <v>95</v>
      </c>
      <c r="C100" s="113" t="s">
        <v>484</v>
      </c>
      <c r="D100" s="100" t="s">
        <v>240</v>
      </c>
      <c r="E100" s="101" t="s">
        <v>466</v>
      </c>
      <c r="F100" s="115" t="s">
        <v>176</v>
      </c>
    </row>
    <row r="101" spans="2:6" ht="50" customHeight="1" x14ac:dyDescent="0.15">
      <c r="B101" s="104">
        <v>96</v>
      </c>
      <c r="C101" s="113" t="s">
        <v>484</v>
      </c>
      <c r="D101" s="108" t="s">
        <v>261</v>
      </c>
      <c r="E101" s="101" t="s">
        <v>262</v>
      </c>
      <c r="F101" s="115" t="s">
        <v>176</v>
      </c>
    </row>
    <row r="102" spans="2:6" ht="50" customHeight="1" x14ac:dyDescent="0.15">
      <c r="B102" s="104">
        <v>97</v>
      </c>
      <c r="C102" s="113" t="s">
        <v>484</v>
      </c>
      <c r="D102" s="108" t="s">
        <v>263</v>
      </c>
      <c r="E102" s="101" t="s">
        <v>264</v>
      </c>
      <c r="F102" s="115" t="s">
        <v>176</v>
      </c>
    </row>
    <row r="103" spans="2:6" ht="50" customHeight="1" x14ac:dyDescent="0.15">
      <c r="B103" s="104">
        <v>98</v>
      </c>
      <c r="C103" s="113" t="s">
        <v>484</v>
      </c>
      <c r="D103" s="108" t="s">
        <v>196</v>
      </c>
      <c r="E103" s="101" t="s">
        <v>195</v>
      </c>
      <c r="F103" s="115" t="s">
        <v>176</v>
      </c>
    </row>
    <row r="104" spans="2:6" ht="50" customHeight="1" x14ac:dyDescent="0.15">
      <c r="B104" s="107">
        <v>99</v>
      </c>
      <c r="C104" s="113" t="s">
        <v>484</v>
      </c>
      <c r="D104" s="108" t="s">
        <v>181</v>
      </c>
      <c r="E104" s="101" t="s">
        <v>296</v>
      </c>
      <c r="F104" s="115" t="s">
        <v>176</v>
      </c>
    </row>
    <row r="105" spans="2:6" ht="50" customHeight="1" x14ac:dyDescent="0.15">
      <c r="B105" s="107">
        <v>100</v>
      </c>
      <c r="C105" s="113" t="s">
        <v>484</v>
      </c>
      <c r="D105" s="108" t="s">
        <v>193</v>
      </c>
      <c r="E105" s="101" t="s">
        <v>194</v>
      </c>
      <c r="F105" s="115" t="s">
        <v>176</v>
      </c>
    </row>
    <row r="106" spans="2:6" ht="50" customHeight="1" x14ac:dyDescent="0.15">
      <c r="B106" s="104">
        <v>101</v>
      </c>
      <c r="C106" s="113" t="s">
        <v>484</v>
      </c>
      <c r="D106" s="108" t="s">
        <v>182</v>
      </c>
      <c r="E106" s="101" t="s">
        <v>183</v>
      </c>
      <c r="F106" s="115" t="s">
        <v>265</v>
      </c>
    </row>
    <row r="107" spans="2:6" ht="50" customHeight="1" x14ac:dyDescent="0.15">
      <c r="B107" s="104">
        <v>102</v>
      </c>
      <c r="C107" s="113" t="s">
        <v>484</v>
      </c>
      <c r="D107" s="108" t="s">
        <v>184</v>
      </c>
      <c r="E107" s="101" t="s">
        <v>185</v>
      </c>
      <c r="F107" s="115" t="s">
        <v>265</v>
      </c>
    </row>
    <row r="108" spans="2:6" ht="50" customHeight="1" x14ac:dyDescent="0.15">
      <c r="B108" s="104">
        <v>103</v>
      </c>
      <c r="C108" s="113" t="s">
        <v>484</v>
      </c>
      <c r="D108" s="108" t="s">
        <v>346</v>
      </c>
      <c r="E108" s="101" t="s">
        <v>347</v>
      </c>
      <c r="F108" s="115" t="s">
        <v>265</v>
      </c>
    </row>
    <row r="109" spans="2:6" ht="50" customHeight="1" x14ac:dyDescent="0.15">
      <c r="B109" s="104">
        <v>104</v>
      </c>
      <c r="C109" s="113" t="s">
        <v>484</v>
      </c>
      <c r="D109" s="108" t="s">
        <v>373</v>
      </c>
      <c r="E109" s="101" t="s">
        <v>198</v>
      </c>
      <c r="F109" s="115" t="s">
        <v>265</v>
      </c>
    </row>
    <row r="110" spans="2:6" ht="50" customHeight="1" x14ac:dyDescent="0.15">
      <c r="B110" s="104">
        <v>105</v>
      </c>
      <c r="C110" s="113" t="s">
        <v>484</v>
      </c>
      <c r="D110" s="108" t="s">
        <v>218</v>
      </c>
      <c r="E110" s="101" t="s">
        <v>410</v>
      </c>
      <c r="F110" s="115" t="s">
        <v>265</v>
      </c>
    </row>
    <row r="111" spans="2:6" ht="50" customHeight="1" x14ac:dyDescent="0.15">
      <c r="B111" s="104">
        <v>106</v>
      </c>
      <c r="C111" s="113" t="s">
        <v>484</v>
      </c>
      <c r="D111" s="108" t="s">
        <v>225</v>
      </c>
      <c r="E111" s="110" t="s">
        <v>420</v>
      </c>
      <c r="F111" s="115" t="s">
        <v>265</v>
      </c>
    </row>
    <row r="112" spans="2:6" ht="50" customHeight="1" x14ac:dyDescent="0.15">
      <c r="B112" s="104">
        <v>107</v>
      </c>
      <c r="C112" s="113" t="s">
        <v>484</v>
      </c>
      <c r="D112" s="110" t="s">
        <v>428</v>
      </c>
      <c r="E112" s="101" t="s">
        <v>429</v>
      </c>
      <c r="F112" s="115" t="s">
        <v>265</v>
      </c>
    </row>
    <row r="113" spans="2:6" ht="50" customHeight="1" x14ac:dyDescent="0.15">
      <c r="B113" s="104">
        <v>108</v>
      </c>
      <c r="C113" s="113" t="s">
        <v>484</v>
      </c>
      <c r="D113" s="101" t="s">
        <v>229</v>
      </c>
      <c r="E113" s="110" t="s">
        <v>453</v>
      </c>
      <c r="F113" s="115" t="s">
        <v>265</v>
      </c>
    </row>
    <row r="114" spans="2:6" ht="50" customHeight="1" x14ac:dyDescent="0.15">
      <c r="B114" s="107">
        <v>109</v>
      </c>
      <c r="C114" s="113" t="s">
        <v>484</v>
      </c>
      <c r="D114" s="101" t="s">
        <v>448</v>
      </c>
      <c r="E114" s="110" t="s">
        <v>449</v>
      </c>
      <c r="F114" s="115" t="s">
        <v>265</v>
      </c>
    </row>
    <row r="115" spans="2:6" ht="50" customHeight="1" x14ac:dyDescent="0.15">
      <c r="B115" s="107">
        <v>110</v>
      </c>
      <c r="C115" s="113" t="s">
        <v>484</v>
      </c>
      <c r="D115" s="101" t="s">
        <v>231</v>
      </c>
      <c r="E115" s="110" t="s">
        <v>459</v>
      </c>
      <c r="F115" s="115" t="s">
        <v>265</v>
      </c>
    </row>
    <row r="116" spans="2:6" ht="50" customHeight="1" x14ac:dyDescent="0.15">
      <c r="B116" s="104">
        <v>111</v>
      </c>
      <c r="C116" s="113" t="s">
        <v>484</v>
      </c>
      <c r="D116" s="108" t="s">
        <v>216</v>
      </c>
      <c r="E116" s="101" t="s">
        <v>217</v>
      </c>
      <c r="F116" s="115" t="s">
        <v>407</v>
      </c>
    </row>
    <row r="117" spans="2:6" ht="50" customHeight="1" x14ac:dyDescent="0.15">
      <c r="B117" s="104">
        <v>112</v>
      </c>
      <c r="C117" s="113" t="s">
        <v>484</v>
      </c>
      <c r="D117" s="108" t="s">
        <v>254</v>
      </c>
      <c r="E117" s="101" t="s">
        <v>178</v>
      </c>
      <c r="F117" s="115" t="s">
        <v>255</v>
      </c>
    </row>
    <row r="118" spans="2:6" ht="50" customHeight="1" x14ac:dyDescent="0.15">
      <c r="B118" s="104">
        <v>113</v>
      </c>
      <c r="C118" s="113" t="s">
        <v>484</v>
      </c>
      <c r="D118" s="108" t="s">
        <v>125</v>
      </c>
      <c r="E118" s="101" t="s">
        <v>260</v>
      </c>
      <c r="F118" s="115" t="s">
        <v>255</v>
      </c>
    </row>
    <row r="119" spans="2:6" ht="50" customHeight="1" x14ac:dyDescent="0.15">
      <c r="B119" s="104">
        <v>114</v>
      </c>
      <c r="C119" s="113" t="s">
        <v>484</v>
      </c>
      <c r="D119" s="101" t="s">
        <v>442</v>
      </c>
      <c r="E119" s="110" t="s">
        <v>443</v>
      </c>
      <c r="F119" s="115" t="s">
        <v>255</v>
      </c>
    </row>
    <row r="120" spans="2:6" ht="50" customHeight="1" x14ac:dyDescent="0.15">
      <c r="B120" s="104">
        <v>115</v>
      </c>
      <c r="C120" s="113" t="s">
        <v>484</v>
      </c>
      <c r="D120" s="101" t="s">
        <v>228</v>
      </c>
      <c r="E120" s="110" t="s">
        <v>445</v>
      </c>
      <c r="F120" s="115" t="s">
        <v>255</v>
      </c>
    </row>
    <row r="121" spans="2:6" ht="50" customHeight="1" x14ac:dyDescent="0.15">
      <c r="B121" s="104">
        <v>116</v>
      </c>
      <c r="C121" s="113" t="s">
        <v>484</v>
      </c>
      <c r="D121" s="108" t="s">
        <v>348</v>
      </c>
      <c r="E121" s="101" t="s">
        <v>349</v>
      </c>
      <c r="F121" s="115" t="s">
        <v>31</v>
      </c>
    </row>
    <row r="122" spans="2:6" ht="50" customHeight="1" x14ac:dyDescent="0.15">
      <c r="B122" s="104">
        <v>117</v>
      </c>
      <c r="C122" s="113" t="s">
        <v>484</v>
      </c>
      <c r="D122" s="108" t="s">
        <v>353</v>
      </c>
      <c r="E122" s="101" t="s">
        <v>354</v>
      </c>
      <c r="F122" s="115" t="s">
        <v>31</v>
      </c>
    </row>
    <row r="123" spans="2:6" ht="50" customHeight="1" x14ac:dyDescent="0.15">
      <c r="B123" s="104">
        <v>118</v>
      </c>
      <c r="C123" s="113" t="s">
        <v>484</v>
      </c>
      <c r="D123" s="108" t="s">
        <v>355</v>
      </c>
      <c r="E123" s="101" t="s">
        <v>356</v>
      </c>
      <c r="F123" s="115" t="s">
        <v>31</v>
      </c>
    </row>
    <row r="124" spans="2:6" ht="50" customHeight="1" x14ac:dyDescent="0.15">
      <c r="B124" s="107">
        <v>119</v>
      </c>
      <c r="C124" s="113" t="s">
        <v>484</v>
      </c>
      <c r="D124" s="108" t="s">
        <v>258</v>
      </c>
      <c r="E124" s="101" t="s">
        <v>259</v>
      </c>
      <c r="F124" s="115" t="s">
        <v>31</v>
      </c>
    </row>
    <row r="125" spans="2:6" ht="50" customHeight="1" x14ac:dyDescent="0.15">
      <c r="B125" s="107">
        <v>120</v>
      </c>
      <c r="C125" s="113" t="s">
        <v>484</v>
      </c>
      <c r="D125" s="108" t="s">
        <v>191</v>
      </c>
      <c r="E125" s="101" t="s">
        <v>192</v>
      </c>
      <c r="F125" s="115" t="s">
        <v>31</v>
      </c>
    </row>
    <row r="126" spans="2:6" ht="50" customHeight="1" x14ac:dyDescent="0.15">
      <c r="B126" s="104">
        <v>121</v>
      </c>
      <c r="C126" s="113" t="s">
        <v>484</v>
      </c>
      <c r="D126" s="108" t="s">
        <v>30</v>
      </c>
      <c r="E126" s="101" t="s">
        <v>280</v>
      </c>
      <c r="F126" s="115" t="s">
        <v>31</v>
      </c>
    </row>
    <row r="127" spans="2:6" ht="50" customHeight="1" x14ac:dyDescent="0.15">
      <c r="B127" s="104">
        <v>122</v>
      </c>
      <c r="C127" s="113" t="s">
        <v>484</v>
      </c>
      <c r="D127" s="101" t="s">
        <v>224</v>
      </c>
      <c r="E127" s="110" t="s">
        <v>426</v>
      </c>
      <c r="F127" s="115" t="s">
        <v>31</v>
      </c>
    </row>
    <row r="128" spans="2:6" ht="50" customHeight="1" x14ac:dyDescent="0.15">
      <c r="B128" s="104">
        <v>123</v>
      </c>
      <c r="C128" s="113" t="s">
        <v>484</v>
      </c>
      <c r="D128" s="101" t="s">
        <v>230</v>
      </c>
      <c r="E128" s="110" t="s">
        <v>444</v>
      </c>
      <c r="F128" s="115" t="s">
        <v>31</v>
      </c>
    </row>
    <row r="129" spans="2:6" ht="50" customHeight="1" x14ac:dyDescent="0.15">
      <c r="B129" s="104">
        <v>124</v>
      </c>
      <c r="C129" s="113" t="s">
        <v>484</v>
      </c>
      <c r="D129" s="105" t="s">
        <v>252</v>
      </c>
      <c r="E129" s="106" t="s">
        <v>253</v>
      </c>
      <c r="F129" s="116" t="s">
        <v>18</v>
      </c>
    </row>
    <row r="130" spans="2:6" ht="50" customHeight="1" x14ac:dyDescent="0.15">
      <c r="B130" s="104">
        <v>125</v>
      </c>
      <c r="C130" s="113" t="s">
        <v>484</v>
      </c>
      <c r="D130" s="108" t="s">
        <v>281</v>
      </c>
      <c r="E130" s="101" t="s">
        <v>282</v>
      </c>
      <c r="F130" s="115" t="s">
        <v>18</v>
      </c>
    </row>
    <row r="131" spans="2:6" ht="50" customHeight="1" x14ac:dyDescent="0.15">
      <c r="B131" s="104">
        <v>126</v>
      </c>
      <c r="C131" s="113" t="s">
        <v>484</v>
      </c>
      <c r="D131" s="108" t="s">
        <v>366</v>
      </c>
      <c r="E131" s="101" t="s">
        <v>367</v>
      </c>
      <c r="F131" s="115" t="s">
        <v>368</v>
      </c>
    </row>
    <row r="132" spans="2:6" ht="50" customHeight="1" x14ac:dyDescent="0.15">
      <c r="B132" s="104">
        <v>127</v>
      </c>
      <c r="C132" s="113" t="s">
        <v>484</v>
      </c>
      <c r="D132" s="108" t="s">
        <v>371</v>
      </c>
      <c r="E132" s="101" t="s">
        <v>372</v>
      </c>
      <c r="F132" s="115" t="s">
        <v>368</v>
      </c>
    </row>
    <row r="133" spans="2:6" ht="50" customHeight="1" x14ac:dyDescent="0.15">
      <c r="B133" s="104">
        <v>128</v>
      </c>
      <c r="C133" s="113" t="s">
        <v>484</v>
      </c>
      <c r="D133" s="108" t="s">
        <v>374</v>
      </c>
      <c r="E133" s="101" t="s">
        <v>200</v>
      </c>
      <c r="F133" s="115" t="s">
        <v>368</v>
      </c>
    </row>
    <row r="134" spans="2:6" ht="50" customHeight="1" x14ac:dyDescent="0.15">
      <c r="B134" s="107">
        <v>129</v>
      </c>
      <c r="C134" s="113" t="s">
        <v>484</v>
      </c>
      <c r="D134" s="108" t="s">
        <v>306</v>
      </c>
      <c r="E134" s="101" t="s">
        <v>307</v>
      </c>
      <c r="F134" s="115" t="s">
        <v>18</v>
      </c>
    </row>
    <row r="135" spans="2:6" ht="50" customHeight="1" x14ac:dyDescent="0.15">
      <c r="B135" s="107">
        <v>130</v>
      </c>
      <c r="C135" s="113" t="s">
        <v>484</v>
      </c>
      <c r="D135" s="108" t="s">
        <v>146</v>
      </c>
      <c r="E135" s="101" t="s">
        <v>312</v>
      </c>
      <c r="F135" s="115" t="s">
        <v>18</v>
      </c>
    </row>
    <row r="136" spans="2:6" ht="50" customHeight="1" x14ac:dyDescent="0.15">
      <c r="B136" s="104">
        <v>131</v>
      </c>
      <c r="C136" s="113" t="s">
        <v>484</v>
      </c>
      <c r="D136" s="108" t="s">
        <v>205</v>
      </c>
      <c r="E136" s="101" t="s">
        <v>379</v>
      </c>
      <c r="F136" s="115" t="s">
        <v>368</v>
      </c>
    </row>
    <row r="137" spans="2:6" ht="50" customHeight="1" x14ac:dyDescent="0.15">
      <c r="B137" s="104">
        <v>132</v>
      </c>
      <c r="C137" s="113" t="s">
        <v>484</v>
      </c>
      <c r="D137" s="110" t="s">
        <v>226</v>
      </c>
      <c r="E137" s="110" t="s">
        <v>427</v>
      </c>
      <c r="F137" s="115" t="s">
        <v>368</v>
      </c>
    </row>
    <row r="138" spans="2:6" ht="50" customHeight="1" x14ac:dyDescent="0.15">
      <c r="B138" s="104">
        <v>133</v>
      </c>
      <c r="C138" s="113" t="s">
        <v>484</v>
      </c>
      <c r="D138" s="100" t="s">
        <v>243</v>
      </c>
      <c r="E138" s="110" t="s">
        <v>472</v>
      </c>
      <c r="F138" s="115" t="s">
        <v>368</v>
      </c>
    </row>
    <row r="139" spans="2:6" ht="50" customHeight="1" x14ac:dyDescent="0.15">
      <c r="B139" s="104">
        <v>134</v>
      </c>
      <c r="C139" s="113" t="s">
        <v>484</v>
      </c>
      <c r="D139" s="101" t="s">
        <v>220</v>
      </c>
      <c r="E139" s="101" t="s">
        <v>425</v>
      </c>
      <c r="F139" s="115" t="s">
        <v>24</v>
      </c>
    </row>
    <row r="140" spans="2:6" ht="50" customHeight="1" x14ac:dyDescent="0.15">
      <c r="B140" s="104">
        <v>135</v>
      </c>
      <c r="C140" s="113" t="s">
        <v>484</v>
      </c>
      <c r="D140" s="108" t="s">
        <v>211</v>
      </c>
      <c r="E140" s="101" t="s">
        <v>395</v>
      </c>
      <c r="F140" s="115" t="s">
        <v>396</v>
      </c>
    </row>
    <row r="141" spans="2:6" ht="50" customHeight="1" x14ac:dyDescent="0.15">
      <c r="B141" s="104">
        <v>136</v>
      </c>
      <c r="C141" s="113" t="s">
        <v>484</v>
      </c>
      <c r="D141" s="108" t="s">
        <v>201</v>
      </c>
      <c r="E141" s="101" t="s">
        <v>377</v>
      </c>
      <c r="F141" s="115" t="s">
        <v>378</v>
      </c>
    </row>
    <row r="142" spans="2:6" ht="50" customHeight="1" x14ac:dyDescent="0.15">
      <c r="B142" s="104">
        <v>137</v>
      </c>
      <c r="C142" s="113" t="s">
        <v>484</v>
      </c>
      <c r="D142" s="108" t="s">
        <v>272</v>
      </c>
      <c r="E142" s="101" t="s">
        <v>273</v>
      </c>
      <c r="F142" s="115" t="s">
        <v>274</v>
      </c>
    </row>
    <row r="143" spans="2:6" ht="50" customHeight="1" x14ac:dyDescent="0.15">
      <c r="B143" s="104">
        <v>138</v>
      </c>
      <c r="C143" s="113" t="s">
        <v>484</v>
      </c>
      <c r="D143" s="108" t="s">
        <v>335</v>
      </c>
      <c r="E143" s="101" t="s">
        <v>336</v>
      </c>
      <c r="F143" s="115" t="s">
        <v>337</v>
      </c>
    </row>
    <row r="144" spans="2:6" ht="50" customHeight="1" x14ac:dyDescent="0.15">
      <c r="B144" s="107">
        <v>139</v>
      </c>
      <c r="C144" s="113" t="s">
        <v>484</v>
      </c>
      <c r="D144" s="108" t="s">
        <v>206</v>
      </c>
      <c r="E144" s="101" t="s">
        <v>384</v>
      </c>
      <c r="F144" s="115" t="s">
        <v>337</v>
      </c>
    </row>
    <row r="145" spans="2:6" ht="50" customHeight="1" x14ac:dyDescent="0.15">
      <c r="B145" s="107">
        <v>140</v>
      </c>
      <c r="C145" s="113" t="s">
        <v>484</v>
      </c>
      <c r="D145" s="108" t="s">
        <v>209</v>
      </c>
      <c r="E145" s="101" t="s">
        <v>385</v>
      </c>
      <c r="F145" s="115" t="s">
        <v>337</v>
      </c>
    </row>
    <row r="146" spans="2:6" ht="50" customHeight="1" x14ac:dyDescent="0.15">
      <c r="B146" s="104">
        <v>141</v>
      </c>
      <c r="C146" s="113" t="s">
        <v>484</v>
      </c>
      <c r="D146" s="101" t="s">
        <v>450</v>
      </c>
      <c r="E146" s="110" t="s">
        <v>451</v>
      </c>
      <c r="F146" s="115" t="s">
        <v>337</v>
      </c>
    </row>
    <row r="147" spans="2:6" ht="50" customHeight="1" x14ac:dyDescent="0.15">
      <c r="B147" s="104">
        <v>142</v>
      </c>
      <c r="C147" s="113" t="s">
        <v>484</v>
      </c>
      <c r="D147" s="101" t="s">
        <v>481</v>
      </c>
      <c r="E147" s="110" t="s">
        <v>452</v>
      </c>
      <c r="F147" s="115" t="s">
        <v>337</v>
      </c>
    </row>
    <row r="148" spans="2:6" ht="50" customHeight="1" x14ac:dyDescent="0.15">
      <c r="B148" s="104">
        <v>143</v>
      </c>
      <c r="C148" s="113" t="s">
        <v>484</v>
      </c>
      <c r="D148" s="108" t="s">
        <v>350</v>
      </c>
      <c r="E148" s="101" t="s">
        <v>351</v>
      </c>
      <c r="F148" s="115" t="s">
        <v>352</v>
      </c>
    </row>
    <row r="149" spans="2:6" s="109" customFormat="1" ht="50" customHeight="1" thickBot="1" x14ac:dyDescent="0.2">
      <c r="B149" s="117">
        <v>144</v>
      </c>
      <c r="C149" s="118" t="s">
        <v>484</v>
      </c>
      <c r="D149" s="119" t="s">
        <v>238</v>
      </c>
      <c r="E149" s="120" t="s">
        <v>463</v>
      </c>
      <c r="F149" s="121" t="s">
        <v>352</v>
      </c>
    </row>
  </sheetData>
  <mergeCells count="2">
    <mergeCell ref="B2:F2"/>
    <mergeCell ref="B3:F4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2:C28"/>
  <sheetViews>
    <sheetView topLeftCell="A6" workbookViewId="0">
      <selection activeCell="A22" sqref="A22"/>
    </sheetView>
  </sheetViews>
  <sheetFormatPr baseColWidth="10" defaultColWidth="8.83203125" defaultRowHeight="13" x14ac:dyDescent="0.15"/>
  <cols>
    <col min="2" max="2" width="26.83203125" bestFit="1" customWidth="1"/>
    <col min="3" max="3" width="11.33203125" bestFit="1" customWidth="1"/>
  </cols>
  <sheetData>
    <row r="2" spans="1:3" x14ac:dyDescent="0.15">
      <c r="A2" s="96" t="s">
        <v>171</v>
      </c>
      <c r="B2" s="96" t="s">
        <v>172</v>
      </c>
      <c r="C2" s="96" t="s">
        <v>173</v>
      </c>
    </row>
    <row r="3" spans="1:3" ht="16" thickBot="1" x14ac:dyDescent="0.2">
      <c r="A3" s="82" t="s">
        <v>111</v>
      </c>
      <c r="B3" s="82" t="s">
        <v>11</v>
      </c>
      <c r="C3" s="95" t="s">
        <v>161</v>
      </c>
    </row>
    <row r="4" spans="1:3" ht="16" thickBot="1" x14ac:dyDescent="0.2">
      <c r="A4" s="3" t="s">
        <v>124</v>
      </c>
      <c r="B4" s="3" t="s">
        <v>125</v>
      </c>
      <c r="C4" s="95" t="s">
        <v>162</v>
      </c>
    </row>
    <row r="5" spans="1:3" ht="16" thickBot="1" x14ac:dyDescent="0.2">
      <c r="A5" s="3" t="s">
        <v>112</v>
      </c>
      <c r="B5" s="3" t="s">
        <v>146</v>
      </c>
      <c r="C5" s="95" t="s">
        <v>163</v>
      </c>
    </row>
    <row r="6" spans="1:3" ht="16" thickBot="1" x14ac:dyDescent="0.2">
      <c r="A6" s="3" t="s">
        <v>127</v>
      </c>
      <c r="B6" s="3" t="s">
        <v>128</v>
      </c>
      <c r="C6" s="95" t="s">
        <v>164</v>
      </c>
    </row>
    <row r="7" spans="1:3" ht="16" thickBot="1" x14ac:dyDescent="0.2">
      <c r="A7" s="3" t="s">
        <v>126</v>
      </c>
      <c r="B7" s="3" t="s">
        <v>30</v>
      </c>
      <c r="C7" s="95" t="s">
        <v>165</v>
      </c>
    </row>
    <row r="8" spans="1:3" ht="16" thickBot="1" x14ac:dyDescent="0.2">
      <c r="A8" s="3" t="s">
        <v>134</v>
      </c>
      <c r="B8" s="3" t="s">
        <v>33</v>
      </c>
      <c r="C8" s="95" t="s">
        <v>166</v>
      </c>
    </row>
    <row r="9" spans="1:3" ht="16" thickBot="1" x14ac:dyDescent="0.2">
      <c r="A9" s="38" t="s">
        <v>151</v>
      </c>
      <c r="B9" s="80" t="s">
        <v>40</v>
      </c>
      <c r="C9" s="95" t="s">
        <v>166</v>
      </c>
    </row>
    <row r="10" spans="1:3" ht="16" thickBot="1" x14ac:dyDescent="0.2">
      <c r="A10" s="3" t="s">
        <v>113</v>
      </c>
      <c r="B10" s="3" t="s">
        <v>114</v>
      </c>
      <c r="C10" s="95" t="s">
        <v>167</v>
      </c>
    </row>
    <row r="11" spans="1:3" ht="16" thickBot="1" x14ac:dyDescent="0.2">
      <c r="A11" s="3" t="s">
        <v>122</v>
      </c>
      <c r="B11" s="3" t="s">
        <v>123</v>
      </c>
      <c r="C11" s="95" t="s">
        <v>161</v>
      </c>
    </row>
    <row r="12" spans="1:3" ht="16" thickBot="1" x14ac:dyDescent="0.2">
      <c r="A12" s="3" t="s">
        <v>120</v>
      </c>
      <c r="B12" s="3" t="s">
        <v>121</v>
      </c>
      <c r="C12" s="95" t="s">
        <v>168</v>
      </c>
    </row>
    <row r="13" spans="1:3" ht="16" thickBot="1" x14ac:dyDescent="0.2">
      <c r="A13" s="3" t="s">
        <v>118</v>
      </c>
      <c r="B13" s="3" t="s">
        <v>119</v>
      </c>
      <c r="C13" s="95" t="s">
        <v>168</v>
      </c>
    </row>
    <row r="14" spans="1:3" ht="16" thickBot="1" x14ac:dyDescent="0.2">
      <c r="A14" s="3" t="s">
        <v>148</v>
      </c>
      <c r="B14" s="80" t="s">
        <v>147</v>
      </c>
      <c r="C14" s="95" t="s">
        <v>168</v>
      </c>
    </row>
    <row r="15" spans="1:3" ht="16" thickBot="1" x14ac:dyDescent="0.2">
      <c r="A15" s="3" t="s">
        <v>117</v>
      </c>
      <c r="B15" s="3" t="s">
        <v>145</v>
      </c>
      <c r="C15" s="95" t="s">
        <v>165</v>
      </c>
    </row>
    <row r="16" spans="1:3" ht="16" thickBot="1" x14ac:dyDescent="0.2">
      <c r="A16" s="3" t="s">
        <v>116</v>
      </c>
      <c r="B16" s="3" t="s">
        <v>115</v>
      </c>
      <c r="C16" s="95" t="s">
        <v>165</v>
      </c>
    </row>
    <row r="17" spans="1:3" ht="16" thickBot="1" x14ac:dyDescent="0.2">
      <c r="A17" s="3" t="s">
        <v>135</v>
      </c>
      <c r="B17" s="3" t="s">
        <v>144</v>
      </c>
      <c r="C17" s="95" t="s">
        <v>169</v>
      </c>
    </row>
    <row r="18" spans="1:3" ht="16" thickBot="1" x14ac:dyDescent="0.2">
      <c r="A18" s="3" t="s">
        <v>136</v>
      </c>
      <c r="B18" s="3" t="s">
        <v>133</v>
      </c>
      <c r="C18" s="95" t="s">
        <v>170</v>
      </c>
    </row>
    <row r="19" spans="1:3" ht="16" thickBot="1" x14ac:dyDescent="0.2">
      <c r="A19" s="3" t="s">
        <v>150</v>
      </c>
      <c r="B19" s="80" t="s">
        <v>149</v>
      </c>
      <c r="C19" s="95" t="s">
        <v>161</v>
      </c>
    </row>
    <row r="20" spans="1:3" ht="16" thickBot="1" x14ac:dyDescent="0.2">
      <c r="A20" s="3"/>
      <c r="B20" s="3"/>
      <c r="C20" s="95"/>
    </row>
    <row r="21" spans="1:3" ht="16" thickBot="1" x14ac:dyDescent="0.2">
      <c r="A21" s="3"/>
      <c r="B21" s="3"/>
      <c r="C21" s="95"/>
    </row>
    <row r="22" spans="1:3" ht="16" thickBot="1" x14ac:dyDescent="0.2">
      <c r="A22" s="3"/>
      <c r="B22" s="3"/>
      <c r="C22" s="95"/>
    </row>
    <row r="23" spans="1:3" ht="16" thickBot="1" x14ac:dyDescent="0.2">
      <c r="A23" s="3"/>
      <c r="B23" s="3"/>
      <c r="C23" s="95"/>
    </row>
    <row r="24" spans="1:3" ht="16" thickBot="1" x14ac:dyDescent="0.2">
      <c r="A24" s="3"/>
      <c r="B24" s="3"/>
      <c r="C24" s="95"/>
    </row>
    <row r="25" spans="1:3" ht="16" thickBot="1" x14ac:dyDescent="0.2">
      <c r="A25" s="3"/>
      <c r="B25" s="3"/>
      <c r="C25" s="95"/>
    </row>
    <row r="26" spans="1:3" ht="16" thickBot="1" x14ac:dyDescent="0.2">
      <c r="A26" s="3"/>
      <c r="B26" s="3"/>
      <c r="C26" s="95"/>
    </row>
    <row r="27" spans="1:3" ht="16" thickBot="1" x14ac:dyDescent="0.2">
      <c r="A27" s="3"/>
      <c r="B27" s="3"/>
      <c r="C27" s="95"/>
    </row>
    <row r="28" spans="1:3" ht="16" thickBot="1" x14ac:dyDescent="0.2">
      <c r="A28" s="3"/>
      <c r="B28" s="3"/>
      <c r="C28" s="9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46"/>
  <sheetViews>
    <sheetView showGridLines="0" workbookViewId="0">
      <selection activeCell="AB7" sqref="AB7:AB8"/>
    </sheetView>
  </sheetViews>
  <sheetFormatPr baseColWidth="10" defaultColWidth="8.83203125" defaultRowHeight="13" x14ac:dyDescent="0.15"/>
  <cols>
    <col min="1" max="1" width="8" customWidth="1"/>
    <col min="2" max="2" width="26" bestFit="1" customWidth="1"/>
    <col min="3" max="3" width="18.1640625" bestFit="1" customWidth="1"/>
    <col min="4" max="4" width="9.1640625" customWidth="1"/>
    <col min="5" max="5" width="12.5" customWidth="1"/>
    <col min="6" max="6" width="16.6640625" customWidth="1"/>
    <col min="7" max="7" width="18.5" customWidth="1"/>
    <col min="9" max="9" width="21.1640625" customWidth="1"/>
    <col min="10" max="10" width="14.1640625" customWidth="1"/>
    <col min="11" max="11" width="15" customWidth="1"/>
    <col min="12" max="12" width="17" customWidth="1"/>
    <col min="13" max="13" width="16.33203125" customWidth="1"/>
    <col min="14" max="14" width="16.1640625" customWidth="1"/>
    <col min="15" max="15" width="11.5" customWidth="1"/>
    <col min="16" max="16" width="17.5" customWidth="1"/>
  </cols>
  <sheetData>
    <row r="1" spans="1:34" x14ac:dyDescent="0.15">
      <c r="A1" s="1" t="s">
        <v>0</v>
      </c>
      <c r="C1" s="8" t="s">
        <v>85</v>
      </c>
      <c r="D1" s="10"/>
      <c r="E1" t="s">
        <v>86</v>
      </c>
      <c r="F1" s="1"/>
    </row>
    <row r="2" spans="1:34" x14ac:dyDescent="0.15">
      <c r="A2" s="1" t="s">
        <v>1</v>
      </c>
      <c r="D2" s="9"/>
      <c r="E2" t="s">
        <v>87</v>
      </c>
    </row>
    <row r="3" spans="1:34" x14ac:dyDescent="0.15">
      <c r="A3" s="1" t="s">
        <v>2</v>
      </c>
      <c r="D3" s="11"/>
      <c r="E3" t="s">
        <v>88</v>
      </c>
    </row>
    <row r="4" spans="1:34" x14ac:dyDescent="0.15">
      <c r="A4" s="1"/>
    </row>
    <row r="5" spans="1:34" ht="20" customHeight="1" x14ac:dyDescent="0.15">
      <c r="A5" s="7" t="s">
        <v>90</v>
      </c>
    </row>
    <row r="6" spans="1:34" ht="5" customHeight="1" x14ac:dyDescent="0.15"/>
    <row r="7" spans="1:34" s="14" customFormat="1" ht="20" customHeight="1" x14ac:dyDescent="0.15">
      <c r="A7" s="17" t="s">
        <v>3</v>
      </c>
      <c r="B7" s="18" t="s">
        <v>4</v>
      </c>
      <c r="C7" s="18" t="s">
        <v>5</v>
      </c>
      <c r="D7" s="18" t="s">
        <v>6</v>
      </c>
      <c r="E7" s="19" t="s">
        <v>7</v>
      </c>
      <c r="F7" s="19" t="s">
        <v>73</v>
      </c>
      <c r="G7" s="19" t="s">
        <v>77</v>
      </c>
      <c r="H7" s="19" t="s">
        <v>74</v>
      </c>
      <c r="I7" s="19" t="s">
        <v>78</v>
      </c>
      <c r="J7" s="19" t="s">
        <v>75</v>
      </c>
      <c r="K7" s="19" t="s">
        <v>76</v>
      </c>
      <c r="L7" s="19" t="s">
        <v>79</v>
      </c>
      <c r="M7" s="19" t="s">
        <v>80</v>
      </c>
      <c r="N7" s="19" t="s">
        <v>81</v>
      </c>
      <c r="O7" s="19" t="s">
        <v>82</v>
      </c>
      <c r="P7" s="20" t="s">
        <v>84</v>
      </c>
    </row>
    <row r="8" spans="1:34" ht="15" customHeight="1" x14ac:dyDescent="0.15">
      <c r="A8" s="2">
        <v>1</v>
      </c>
      <c r="B8" s="3" t="s">
        <v>8</v>
      </c>
      <c r="C8" s="4" t="s">
        <v>9</v>
      </c>
      <c r="D8" s="12" t="s">
        <v>10</v>
      </c>
      <c r="E8" s="15"/>
      <c r="F8" s="15"/>
      <c r="G8" s="15">
        <f>E8+F8</f>
        <v>0</v>
      </c>
      <c r="H8" s="15">
        <v>2.2599999999999998</v>
      </c>
      <c r="I8" s="16">
        <f>G8+H8</f>
        <v>2.2599999999999998</v>
      </c>
      <c r="J8" s="16">
        <v>1.58</v>
      </c>
      <c r="K8" s="16">
        <v>0</v>
      </c>
      <c r="L8" s="15">
        <f>I8+J8+K8</f>
        <v>3.84</v>
      </c>
      <c r="M8" s="16">
        <v>6</v>
      </c>
      <c r="N8" s="16">
        <f>M8+L8</f>
        <v>9.84</v>
      </c>
      <c r="O8" s="15"/>
      <c r="P8" s="16">
        <v>96.35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ht="15" customHeight="1" x14ac:dyDescent="0.15">
      <c r="A9" s="2">
        <v>2</v>
      </c>
      <c r="B9" s="3" t="s">
        <v>11</v>
      </c>
      <c r="C9" s="6" t="s">
        <v>12</v>
      </c>
      <c r="D9" s="12" t="s">
        <v>13</v>
      </c>
      <c r="E9" s="15"/>
      <c r="F9" s="15"/>
      <c r="G9" s="15">
        <f t="shared" ref="G9:G46" si="0">E9+F9</f>
        <v>0</v>
      </c>
      <c r="H9" s="15">
        <v>2.2599999999999998</v>
      </c>
      <c r="I9" s="16">
        <f t="shared" ref="I9:I46" si="1">G9+H9</f>
        <v>2.2599999999999998</v>
      </c>
      <c r="J9" s="16">
        <v>1.58</v>
      </c>
      <c r="K9" s="16">
        <v>0</v>
      </c>
      <c r="L9" s="15">
        <f t="shared" ref="L9:L46" si="2">I9+J9+K9</f>
        <v>3.84</v>
      </c>
      <c r="M9" s="16">
        <v>6</v>
      </c>
      <c r="N9" s="16">
        <f t="shared" ref="N9:N46" si="3">M9+L9</f>
        <v>9.84</v>
      </c>
      <c r="O9" s="15"/>
      <c r="P9" s="16">
        <v>96.35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ht="15" customHeight="1" x14ac:dyDescent="0.15">
      <c r="A10" s="2">
        <f>A9+1</f>
        <v>3</v>
      </c>
      <c r="B10" s="3" t="s">
        <v>14</v>
      </c>
      <c r="C10" s="6" t="s">
        <v>15</v>
      </c>
      <c r="D10" s="12" t="s">
        <v>16</v>
      </c>
      <c r="E10" s="15"/>
      <c r="F10" s="15"/>
      <c r="G10" s="15">
        <f t="shared" si="0"/>
        <v>0</v>
      </c>
      <c r="H10" s="15">
        <v>2.2599999999999998</v>
      </c>
      <c r="I10" s="16">
        <f t="shared" si="1"/>
        <v>2.2599999999999998</v>
      </c>
      <c r="J10" s="16">
        <v>1.58</v>
      </c>
      <c r="K10" s="16">
        <v>0</v>
      </c>
      <c r="L10" s="15">
        <f t="shared" si="2"/>
        <v>3.84</v>
      </c>
      <c r="M10" s="16">
        <v>6</v>
      </c>
      <c r="N10" s="16">
        <f t="shared" si="3"/>
        <v>9.84</v>
      </c>
      <c r="O10" s="15"/>
      <c r="P10" s="16">
        <v>96.35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 ht="15" customHeight="1" x14ac:dyDescent="0.15">
      <c r="A11" s="2">
        <f t="shared" ref="A11:A46" si="4">A10+1</f>
        <v>4</v>
      </c>
      <c r="B11" s="3" t="s">
        <v>17</v>
      </c>
      <c r="C11" s="6" t="s">
        <v>18</v>
      </c>
      <c r="D11" s="12" t="s">
        <v>16</v>
      </c>
      <c r="E11" s="15"/>
      <c r="F11" s="15"/>
      <c r="G11" s="15">
        <f t="shared" si="0"/>
        <v>0</v>
      </c>
      <c r="H11" s="15">
        <v>2.2599999999999998</v>
      </c>
      <c r="I11" s="16">
        <f t="shared" si="1"/>
        <v>2.2599999999999998</v>
      </c>
      <c r="J11" s="16">
        <v>1.58</v>
      </c>
      <c r="K11" s="16">
        <v>0</v>
      </c>
      <c r="L11" s="15">
        <f t="shared" si="2"/>
        <v>3.84</v>
      </c>
      <c r="M11" s="16">
        <v>6</v>
      </c>
      <c r="N11" s="16">
        <f t="shared" si="3"/>
        <v>9.84</v>
      </c>
      <c r="O11" s="15"/>
      <c r="P11" s="16">
        <v>96.35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ht="15" customHeight="1" x14ac:dyDescent="0.15">
      <c r="A12" s="2">
        <f t="shared" si="4"/>
        <v>5</v>
      </c>
      <c r="B12" s="3" t="s">
        <v>19</v>
      </c>
      <c r="C12" s="6" t="s">
        <v>20</v>
      </c>
      <c r="D12" s="12" t="s">
        <v>21</v>
      </c>
      <c r="E12" s="15"/>
      <c r="F12" s="15"/>
      <c r="G12" s="15">
        <f t="shared" si="0"/>
        <v>0</v>
      </c>
      <c r="H12" s="15">
        <v>2.2599999999999998</v>
      </c>
      <c r="I12" s="16">
        <f t="shared" si="1"/>
        <v>2.2599999999999998</v>
      </c>
      <c r="J12" s="16">
        <v>1.58</v>
      </c>
      <c r="K12" s="16">
        <v>0</v>
      </c>
      <c r="L12" s="15">
        <f t="shared" si="2"/>
        <v>3.84</v>
      </c>
      <c r="M12" s="16">
        <v>6</v>
      </c>
      <c r="N12" s="16">
        <f t="shared" si="3"/>
        <v>9.84</v>
      </c>
      <c r="O12" s="15"/>
      <c r="P12" s="16">
        <v>96.35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5" customHeight="1" x14ac:dyDescent="0.15">
      <c r="A13" s="2">
        <f t="shared" si="4"/>
        <v>6</v>
      </c>
      <c r="B13" s="3" t="s">
        <v>22</v>
      </c>
      <c r="C13" s="4" t="s">
        <v>18</v>
      </c>
      <c r="D13" s="12" t="s">
        <v>13</v>
      </c>
      <c r="E13" s="15"/>
      <c r="F13" s="15"/>
      <c r="G13" s="15">
        <f t="shared" si="0"/>
        <v>0</v>
      </c>
      <c r="H13" s="15">
        <v>2.2599999999999998</v>
      </c>
      <c r="I13" s="16">
        <f t="shared" si="1"/>
        <v>2.2599999999999998</v>
      </c>
      <c r="J13" s="16">
        <v>1.58</v>
      </c>
      <c r="K13" s="16">
        <v>0</v>
      </c>
      <c r="L13" s="15">
        <f t="shared" si="2"/>
        <v>3.84</v>
      </c>
      <c r="M13" s="16">
        <v>6</v>
      </c>
      <c r="N13" s="16">
        <f t="shared" si="3"/>
        <v>9.84</v>
      </c>
      <c r="O13" s="15"/>
      <c r="P13" s="16">
        <v>96.35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15" customHeight="1" x14ac:dyDescent="0.15">
      <c r="A14" s="2">
        <f t="shared" si="4"/>
        <v>7</v>
      </c>
      <c r="B14" s="3" t="s">
        <v>23</v>
      </c>
      <c r="C14" s="4" t="s">
        <v>24</v>
      </c>
      <c r="D14" s="12" t="s">
        <v>25</v>
      </c>
      <c r="E14" s="15"/>
      <c r="F14" s="15"/>
      <c r="G14" s="15">
        <f t="shared" si="0"/>
        <v>0</v>
      </c>
      <c r="H14" s="15">
        <v>2.2599999999999998</v>
      </c>
      <c r="I14" s="16">
        <f t="shared" si="1"/>
        <v>2.2599999999999998</v>
      </c>
      <c r="J14" s="16">
        <v>1.58</v>
      </c>
      <c r="K14" s="16">
        <v>0</v>
      </c>
      <c r="L14" s="15">
        <f t="shared" si="2"/>
        <v>3.84</v>
      </c>
      <c r="M14" s="16">
        <v>6</v>
      </c>
      <c r="N14" s="16">
        <f t="shared" si="3"/>
        <v>9.84</v>
      </c>
      <c r="O14" s="15"/>
      <c r="P14" s="16">
        <v>96.35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5" customHeight="1" x14ac:dyDescent="0.15">
      <c r="A15" s="2">
        <f t="shared" si="4"/>
        <v>8</v>
      </c>
      <c r="B15" s="3" t="s">
        <v>26</v>
      </c>
      <c r="C15" s="4" t="s">
        <v>27</v>
      </c>
      <c r="D15" s="12" t="s">
        <v>13</v>
      </c>
      <c r="E15" s="15"/>
      <c r="F15" s="15"/>
      <c r="G15" s="15">
        <f t="shared" si="0"/>
        <v>0</v>
      </c>
      <c r="H15" s="15">
        <v>2.2599999999999998</v>
      </c>
      <c r="I15" s="16">
        <f t="shared" si="1"/>
        <v>2.2599999999999998</v>
      </c>
      <c r="J15" s="16">
        <v>1.58</v>
      </c>
      <c r="K15" s="16">
        <v>0</v>
      </c>
      <c r="L15" s="15">
        <f t="shared" si="2"/>
        <v>3.84</v>
      </c>
      <c r="M15" s="16">
        <v>6</v>
      </c>
      <c r="N15" s="16">
        <f t="shared" si="3"/>
        <v>9.84</v>
      </c>
      <c r="O15" s="15"/>
      <c r="P15" s="16">
        <v>96.35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5" customHeight="1" x14ac:dyDescent="0.15">
      <c r="A16" s="2">
        <f t="shared" si="4"/>
        <v>9</v>
      </c>
      <c r="B16" s="3" t="s">
        <v>28</v>
      </c>
      <c r="C16" s="4" t="s">
        <v>9</v>
      </c>
      <c r="D16" s="12" t="s">
        <v>10</v>
      </c>
      <c r="E16" s="15"/>
      <c r="F16" s="15"/>
      <c r="G16" s="15">
        <f t="shared" si="0"/>
        <v>0</v>
      </c>
      <c r="H16" s="15">
        <v>2.2599999999999998</v>
      </c>
      <c r="I16" s="16">
        <f t="shared" si="1"/>
        <v>2.2599999999999998</v>
      </c>
      <c r="J16" s="16">
        <v>1.58</v>
      </c>
      <c r="K16" s="16">
        <v>0</v>
      </c>
      <c r="L16" s="15">
        <f t="shared" si="2"/>
        <v>3.84</v>
      </c>
      <c r="M16" s="16">
        <v>6</v>
      </c>
      <c r="N16" s="16">
        <f t="shared" si="3"/>
        <v>9.84</v>
      </c>
      <c r="O16" s="15"/>
      <c r="P16" s="16">
        <v>96.35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5" customHeight="1" x14ac:dyDescent="0.15">
      <c r="A17" s="2">
        <f t="shared" si="4"/>
        <v>10</v>
      </c>
      <c r="B17" s="3" t="s">
        <v>29</v>
      </c>
      <c r="C17" s="4" t="s">
        <v>9</v>
      </c>
      <c r="D17" s="12" t="s">
        <v>16</v>
      </c>
      <c r="E17" s="15"/>
      <c r="F17" s="15"/>
      <c r="G17" s="15">
        <f t="shared" si="0"/>
        <v>0</v>
      </c>
      <c r="H17" s="15">
        <v>2.2599999999999998</v>
      </c>
      <c r="I17" s="16">
        <f t="shared" si="1"/>
        <v>2.2599999999999998</v>
      </c>
      <c r="J17" s="16">
        <v>1.58</v>
      </c>
      <c r="K17" s="16">
        <v>0</v>
      </c>
      <c r="L17" s="15">
        <f t="shared" si="2"/>
        <v>3.84</v>
      </c>
      <c r="M17" s="16">
        <v>6</v>
      </c>
      <c r="N17" s="16">
        <f t="shared" si="3"/>
        <v>9.84</v>
      </c>
      <c r="O17" s="15"/>
      <c r="P17" s="16">
        <v>96.35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5" customHeight="1" x14ac:dyDescent="0.15">
      <c r="A18" s="2">
        <f t="shared" si="4"/>
        <v>11</v>
      </c>
      <c r="B18" s="3" t="s">
        <v>30</v>
      </c>
      <c r="C18" s="4" t="s">
        <v>31</v>
      </c>
      <c r="D18" s="12" t="s">
        <v>16</v>
      </c>
      <c r="E18" s="15"/>
      <c r="F18" s="15"/>
      <c r="G18" s="15">
        <f t="shared" si="0"/>
        <v>0</v>
      </c>
      <c r="H18" s="15">
        <v>2.2599999999999998</v>
      </c>
      <c r="I18" s="16">
        <f t="shared" si="1"/>
        <v>2.2599999999999998</v>
      </c>
      <c r="J18" s="16">
        <v>1.58</v>
      </c>
      <c r="K18" s="16">
        <v>0</v>
      </c>
      <c r="L18" s="15">
        <f t="shared" si="2"/>
        <v>3.84</v>
      </c>
      <c r="M18" s="16">
        <v>6</v>
      </c>
      <c r="N18" s="16">
        <f t="shared" si="3"/>
        <v>9.84</v>
      </c>
      <c r="O18" s="15"/>
      <c r="P18" s="16">
        <v>96.35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5" customHeight="1" x14ac:dyDescent="0.15">
      <c r="A19" s="2">
        <f t="shared" si="4"/>
        <v>12</v>
      </c>
      <c r="B19" s="3" t="s">
        <v>32</v>
      </c>
      <c r="C19" s="4" t="s">
        <v>31</v>
      </c>
      <c r="D19" s="12" t="s">
        <v>16</v>
      </c>
      <c r="E19" s="15"/>
      <c r="F19" s="15"/>
      <c r="G19" s="15">
        <f t="shared" si="0"/>
        <v>0</v>
      </c>
      <c r="H19" s="15">
        <v>2.2599999999999998</v>
      </c>
      <c r="I19" s="16">
        <f t="shared" si="1"/>
        <v>2.2599999999999998</v>
      </c>
      <c r="J19" s="16">
        <v>1.58</v>
      </c>
      <c r="K19" s="16">
        <v>0</v>
      </c>
      <c r="L19" s="15">
        <f t="shared" si="2"/>
        <v>3.84</v>
      </c>
      <c r="M19" s="16">
        <v>6</v>
      </c>
      <c r="N19" s="16">
        <f t="shared" si="3"/>
        <v>9.84</v>
      </c>
      <c r="O19" s="15"/>
      <c r="P19" s="16">
        <v>96.35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 ht="15" customHeight="1" x14ac:dyDescent="0.15">
      <c r="A20" s="2">
        <f t="shared" si="4"/>
        <v>13</v>
      </c>
      <c r="B20" s="3" t="s">
        <v>33</v>
      </c>
      <c r="C20" s="4" t="s">
        <v>31</v>
      </c>
      <c r="D20" s="12" t="s">
        <v>13</v>
      </c>
      <c r="E20" s="15"/>
      <c r="F20" s="15"/>
      <c r="G20" s="15">
        <f t="shared" si="0"/>
        <v>0</v>
      </c>
      <c r="H20" s="15">
        <v>2.2599999999999998</v>
      </c>
      <c r="I20" s="16">
        <f t="shared" si="1"/>
        <v>2.2599999999999998</v>
      </c>
      <c r="J20" s="16">
        <v>1.58</v>
      </c>
      <c r="K20" s="16">
        <v>0</v>
      </c>
      <c r="L20" s="15">
        <f t="shared" si="2"/>
        <v>3.84</v>
      </c>
      <c r="M20" s="16">
        <v>6</v>
      </c>
      <c r="N20" s="16">
        <f t="shared" si="3"/>
        <v>9.84</v>
      </c>
      <c r="O20" s="15"/>
      <c r="P20" s="16">
        <v>96.35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ht="15" customHeight="1" x14ac:dyDescent="0.15">
      <c r="A21" s="2">
        <f t="shared" si="4"/>
        <v>14</v>
      </c>
      <c r="B21" s="3" t="s">
        <v>34</v>
      </c>
      <c r="C21" s="4" t="s">
        <v>35</v>
      </c>
      <c r="D21" s="12" t="s">
        <v>13</v>
      </c>
      <c r="E21" s="15"/>
      <c r="F21" s="15"/>
      <c r="G21" s="15">
        <f t="shared" si="0"/>
        <v>0</v>
      </c>
      <c r="H21" s="15">
        <v>2.2599999999999998</v>
      </c>
      <c r="I21" s="16">
        <f t="shared" si="1"/>
        <v>2.2599999999999998</v>
      </c>
      <c r="J21" s="16">
        <v>1.58</v>
      </c>
      <c r="K21" s="16">
        <v>0</v>
      </c>
      <c r="L21" s="15">
        <f t="shared" si="2"/>
        <v>3.84</v>
      </c>
      <c r="M21" s="16">
        <v>6</v>
      </c>
      <c r="N21" s="16">
        <f t="shared" si="3"/>
        <v>9.84</v>
      </c>
      <c r="O21" s="15"/>
      <c r="P21" s="16">
        <v>96.35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 ht="15" customHeight="1" x14ac:dyDescent="0.15">
      <c r="A22" s="2">
        <f t="shared" si="4"/>
        <v>15</v>
      </c>
      <c r="B22" s="3" t="s">
        <v>36</v>
      </c>
      <c r="C22" s="4" t="s">
        <v>37</v>
      </c>
      <c r="D22" s="12" t="s">
        <v>13</v>
      </c>
      <c r="E22" s="15"/>
      <c r="F22" s="15"/>
      <c r="G22" s="15">
        <f t="shared" si="0"/>
        <v>0</v>
      </c>
      <c r="H22" s="15">
        <v>2.2599999999999998</v>
      </c>
      <c r="I22" s="16">
        <f t="shared" si="1"/>
        <v>2.2599999999999998</v>
      </c>
      <c r="J22" s="16">
        <v>1.58</v>
      </c>
      <c r="K22" s="16">
        <v>0</v>
      </c>
      <c r="L22" s="15">
        <f t="shared" si="2"/>
        <v>3.84</v>
      </c>
      <c r="M22" s="16">
        <v>6</v>
      </c>
      <c r="N22" s="16">
        <f t="shared" si="3"/>
        <v>9.84</v>
      </c>
      <c r="O22" s="15"/>
      <c r="P22" s="16">
        <v>96.35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 ht="15" customHeight="1" x14ac:dyDescent="0.15">
      <c r="A23" s="2">
        <f t="shared" si="4"/>
        <v>16</v>
      </c>
      <c r="B23" s="3" t="s">
        <v>38</v>
      </c>
      <c r="C23" s="4" t="s">
        <v>39</v>
      </c>
      <c r="D23" s="12" t="s">
        <v>21</v>
      </c>
      <c r="E23" s="15"/>
      <c r="F23" s="15"/>
      <c r="G23" s="15">
        <f t="shared" si="0"/>
        <v>0</v>
      </c>
      <c r="H23" s="15">
        <v>2.2599999999999998</v>
      </c>
      <c r="I23" s="16">
        <f t="shared" si="1"/>
        <v>2.2599999999999998</v>
      </c>
      <c r="J23" s="16">
        <v>1.58</v>
      </c>
      <c r="K23" s="16">
        <v>0</v>
      </c>
      <c r="L23" s="15">
        <f t="shared" si="2"/>
        <v>3.84</v>
      </c>
      <c r="M23" s="16">
        <v>6</v>
      </c>
      <c r="N23" s="16">
        <f t="shared" si="3"/>
        <v>9.84</v>
      </c>
      <c r="O23" s="15"/>
      <c r="P23" s="16">
        <v>96.35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ht="15" customHeight="1" x14ac:dyDescent="0.15">
      <c r="A24" s="2">
        <f t="shared" si="4"/>
        <v>17</v>
      </c>
      <c r="B24" s="3" t="s">
        <v>40</v>
      </c>
      <c r="C24" s="4" t="s">
        <v>15</v>
      </c>
      <c r="D24" s="12" t="s">
        <v>25</v>
      </c>
      <c r="E24" s="15"/>
      <c r="F24" s="15"/>
      <c r="G24" s="15">
        <f t="shared" si="0"/>
        <v>0</v>
      </c>
      <c r="H24" s="15">
        <v>2.2599999999999998</v>
      </c>
      <c r="I24" s="16">
        <f t="shared" si="1"/>
        <v>2.2599999999999998</v>
      </c>
      <c r="J24" s="16">
        <v>1.58</v>
      </c>
      <c r="K24" s="16">
        <v>0</v>
      </c>
      <c r="L24" s="15">
        <f t="shared" si="2"/>
        <v>3.84</v>
      </c>
      <c r="M24" s="16">
        <v>6</v>
      </c>
      <c r="N24" s="16">
        <f t="shared" si="3"/>
        <v>9.84</v>
      </c>
      <c r="O24" s="15"/>
      <c r="P24" s="16">
        <v>96.35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ht="15" customHeight="1" x14ac:dyDescent="0.15">
      <c r="A25" s="2">
        <f t="shared" si="4"/>
        <v>18</v>
      </c>
      <c r="B25" s="3" t="s">
        <v>41</v>
      </c>
      <c r="C25" s="4" t="s">
        <v>15</v>
      </c>
      <c r="D25" s="12" t="s">
        <v>13</v>
      </c>
      <c r="E25" s="15"/>
      <c r="F25" s="15"/>
      <c r="G25" s="15">
        <f t="shared" si="0"/>
        <v>0</v>
      </c>
      <c r="H25" s="15">
        <v>2.2599999999999998</v>
      </c>
      <c r="I25" s="16">
        <f t="shared" si="1"/>
        <v>2.2599999999999998</v>
      </c>
      <c r="J25" s="16">
        <v>1.58</v>
      </c>
      <c r="K25" s="16">
        <v>0</v>
      </c>
      <c r="L25" s="15">
        <f t="shared" si="2"/>
        <v>3.84</v>
      </c>
      <c r="M25" s="16">
        <v>6</v>
      </c>
      <c r="N25" s="16">
        <f t="shared" si="3"/>
        <v>9.84</v>
      </c>
      <c r="O25" s="15"/>
      <c r="P25" s="16">
        <v>96.35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ht="15" customHeight="1" x14ac:dyDescent="0.15">
      <c r="A26" s="2">
        <f t="shared" si="4"/>
        <v>19</v>
      </c>
      <c r="B26" s="3" t="s">
        <v>42</v>
      </c>
      <c r="C26" s="4" t="s">
        <v>43</v>
      </c>
      <c r="D26" s="12" t="s">
        <v>25</v>
      </c>
      <c r="E26" s="15"/>
      <c r="F26" s="15"/>
      <c r="G26" s="15">
        <f t="shared" si="0"/>
        <v>0</v>
      </c>
      <c r="H26" s="15">
        <v>2.2599999999999998</v>
      </c>
      <c r="I26" s="16">
        <f t="shared" si="1"/>
        <v>2.2599999999999998</v>
      </c>
      <c r="J26" s="16">
        <v>1.58</v>
      </c>
      <c r="K26" s="16">
        <v>0</v>
      </c>
      <c r="L26" s="15">
        <f t="shared" si="2"/>
        <v>3.84</v>
      </c>
      <c r="M26" s="16">
        <v>6</v>
      </c>
      <c r="N26" s="16">
        <f t="shared" si="3"/>
        <v>9.84</v>
      </c>
      <c r="O26" s="15"/>
      <c r="P26" s="16">
        <v>96.35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ht="15" customHeight="1" x14ac:dyDescent="0.15">
      <c r="A27" s="2">
        <f t="shared" si="4"/>
        <v>20</v>
      </c>
      <c r="B27" s="3" t="s">
        <v>44</v>
      </c>
      <c r="C27" s="4" t="s">
        <v>45</v>
      </c>
      <c r="D27" s="12" t="s">
        <v>16</v>
      </c>
      <c r="E27" s="15"/>
      <c r="F27" s="15"/>
      <c r="G27" s="15">
        <f t="shared" si="0"/>
        <v>0</v>
      </c>
      <c r="H27" s="15">
        <v>2.2599999999999998</v>
      </c>
      <c r="I27" s="16">
        <f t="shared" si="1"/>
        <v>2.2599999999999998</v>
      </c>
      <c r="J27" s="16">
        <v>1.58</v>
      </c>
      <c r="K27" s="16">
        <v>0</v>
      </c>
      <c r="L27" s="15">
        <f t="shared" si="2"/>
        <v>3.84</v>
      </c>
      <c r="M27" s="16">
        <v>6</v>
      </c>
      <c r="N27" s="16">
        <f t="shared" si="3"/>
        <v>9.84</v>
      </c>
      <c r="O27" s="15"/>
      <c r="P27" s="16">
        <v>96.35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ht="15" customHeight="1" x14ac:dyDescent="0.15">
      <c r="A28" s="2">
        <f t="shared" si="4"/>
        <v>21</v>
      </c>
      <c r="B28" s="3" t="s">
        <v>46</v>
      </c>
      <c r="C28" s="4"/>
      <c r="D28" s="12" t="s">
        <v>16</v>
      </c>
      <c r="E28" s="15"/>
      <c r="F28" s="15"/>
      <c r="G28" s="15">
        <f t="shared" si="0"/>
        <v>0</v>
      </c>
      <c r="H28" s="15">
        <v>2.2599999999999998</v>
      </c>
      <c r="I28" s="16">
        <f t="shared" si="1"/>
        <v>2.2599999999999998</v>
      </c>
      <c r="J28" s="16">
        <v>1.58</v>
      </c>
      <c r="K28" s="16">
        <v>0</v>
      </c>
      <c r="L28" s="15">
        <f t="shared" si="2"/>
        <v>3.84</v>
      </c>
      <c r="M28" s="16">
        <v>6</v>
      </c>
      <c r="N28" s="16">
        <f t="shared" si="3"/>
        <v>9.84</v>
      </c>
      <c r="O28" s="15"/>
      <c r="P28" s="16">
        <v>96.35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ht="15" customHeight="1" x14ac:dyDescent="0.15">
      <c r="A29" s="2">
        <f t="shared" si="4"/>
        <v>22</v>
      </c>
      <c r="B29" s="3" t="s">
        <v>47</v>
      </c>
      <c r="C29" s="4"/>
      <c r="D29" s="12" t="s">
        <v>16</v>
      </c>
      <c r="E29" s="15"/>
      <c r="F29" s="15"/>
      <c r="G29" s="15">
        <f t="shared" si="0"/>
        <v>0</v>
      </c>
      <c r="H29" s="15">
        <v>2.2599999999999998</v>
      </c>
      <c r="I29" s="16">
        <f t="shared" si="1"/>
        <v>2.2599999999999998</v>
      </c>
      <c r="J29" s="16">
        <v>1.58</v>
      </c>
      <c r="K29" s="16">
        <v>0</v>
      </c>
      <c r="L29" s="15">
        <f t="shared" si="2"/>
        <v>3.84</v>
      </c>
      <c r="M29" s="16">
        <v>6</v>
      </c>
      <c r="N29" s="16">
        <f t="shared" si="3"/>
        <v>9.84</v>
      </c>
      <c r="O29" s="15"/>
      <c r="P29" s="16">
        <v>96.35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ht="15" customHeight="1" x14ac:dyDescent="0.15">
      <c r="A30" s="2">
        <f t="shared" si="4"/>
        <v>23</v>
      </c>
      <c r="B30" s="3" t="s">
        <v>48</v>
      </c>
      <c r="C30" s="4"/>
      <c r="D30" s="12" t="s">
        <v>13</v>
      </c>
      <c r="E30" s="15"/>
      <c r="F30" s="15"/>
      <c r="G30" s="15">
        <f t="shared" si="0"/>
        <v>0</v>
      </c>
      <c r="H30" s="15">
        <v>2.2599999999999998</v>
      </c>
      <c r="I30" s="16">
        <f t="shared" si="1"/>
        <v>2.2599999999999998</v>
      </c>
      <c r="J30" s="16">
        <v>1.58</v>
      </c>
      <c r="K30" s="16">
        <v>0</v>
      </c>
      <c r="L30" s="15">
        <f t="shared" si="2"/>
        <v>3.84</v>
      </c>
      <c r="M30" s="16">
        <v>6</v>
      </c>
      <c r="N30" s="16">
        <f t="shared" si="3"/>
        <v>9.84</v>
      </c>
      <c r="O30" s="15"/>
      <c r="P30" s="16">
        <v>96.35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5" customHeight="1" x14ac:dyDescent="0.15">
      <c r="A31" s="2">
        <f t="shared" si="4"/>
        <v>24</v>
      </c>
      <c r="B31" s="3" t="s">
        <v>49</v>
      </c>
      <c r="C31" s="4"/>
      <c r="D31" s="12" t="s">
        <v>21</v>
      </c>
      <c r="E31" s="15"/>
      <c r="F31" s="15"/>
      <c r="G31" s="15">
        <f t="shared" si="0"/>
        <v>0</v>
      </c>
      <c r="H31" s="15">
        <v>2.2599999999999998</v>
      </c>
      <c r="I31" s="16">
        <f t="shared" si="1"/>
        <v>2.2599999999999998</v>
      </c>
      <c r="J31" s="16">
        <v>1.58</v>
      </c>
      <c r="K31" s="16">
        <v>0</v>
      </c>
      <c r="L31" s="15">
        <f t="shared" si="2"/>
        <v>3.84</v>
      </c>
      <c r="M31" s="16">
        <v>6</v>
      </c>
      <c r="N31" s="16">
        <f t="shared" si="3"/>
        <v>9.84</v>
      </c>
      <c r="O31" s="15"/>
      <c r="P31" s="16">
        <v>96.35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5" customHeight="1" x14ac:dyDescent="0.15">
      <c r="A32" s="2">
        <f t="shared" si="4"/>
        <v>25</v>
      </c>
      <c r="B32" s="3" t="s">
        <v>50</v>
      </c>
      <c r="C32" s="4" t="s">
        <v>51</v>
      </c>
      <c r="D32" s="12" t="s">
        <v>13</v>
      </c>
      <c r="E32" s="15"/>
      <c r="F32" s="15"/>
      <c r="G32" s="15">
        <f t="shared" si="0"/>
        <v>0</v>
      </c>
      <c r="H32" s="15">
        <v>2.2599999999999998</v>
      </c>
      <c r="I32" s="16">
        <f t="shared" si="1"/>
        <v>2.2599999999999998</v>
      </c>
      <c r="J32" s="16">
        <v>1.58</v>
      </c>
      <c r="K32" s="16">
        <v>0</v>
      </c>
      <c r="L32" s="15">
        <f t="shared" si="2"/>
        <v>3.84</v>
      </c>
      <c r="M32" s="16">
        <v>6</v>
      </c>
      <c r="N32" s="16">
        <f t="shared" si="3"/>
        <v>9.84</v>
      </c>
      <c r="O32" s="15"/>
      <c r="P32" s="16">
        <v>96.35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ht="15" customHeight="1" x14ac:dyDescent="0.15">
      <c r="A33" s="2">
        <f t="shared" si="4"/>
        <v>26</v>
      </c>
      <c r="B33" s="3" t="s">
        <v>52</v>
      </c>
      <c r="C33" s="4" t="s">
        <v>53</v>
      </c>
      <c r="D33" s="12" t="s">
        <v>13</v>
      </c>
      <c r="E33" s="15"/>
      <c r="F33" s="15"/>
      <c r="G33" s="15">
        <f t="shared" si="0"/>
        <v>0</v>
      </c>
      <c r="H33" s="15">
        <v>2.2599999999999998</v>
      </c>
      <c r="I33" s="16">
        <f t="shared" si="1"/>
        <v>2.2599999999999998</v>
      </c>
      <c r="J33" s="16">
        <v>1.58</v>
      </c>
      <c r="K33" s="16">
        <v>0</v>
      </c>
      <c r="L33" s="15">
        <f t="shared" si="2"/>
        <v>3.84</v>
      </c>
      <c r="M33" s="16">
        <v>6</v>
      </c>
      <c r="N33" s="16">
        <f t="shared" si="3"/>
        <v>9.84</v>
      </c>
      <c r="O33" s="15"/>
      <c r="P33" s="16">
        <v>96.35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ht="15" customHeight="1" x14ac:dyDescent="0.15">
      <c r="A34" s="2">
        <f t="shared" si="4"/>
        <v>27</v>
      </c>
      <c r="B34" s="3" t="s">
        <v>54</v>
      </c>
      <c r="C34" s="4" t="s">
        <v>53</v>
      </c>
      <c r="D34" s="12" t="s">
        <v>16</v>
      </c>
      <c r="E34" s="15"/>
      <c r="F34" s="15"/>
      <c r="G34" s="15">
        <f t="shared" si="0"/>
        <v>0</v>
      </c>
      <c r="H34" s="15">
        <v>2.2599999999999998</v>
      </c>
      <c r="I34" s="16">
        <f t="shared" si="1"/>
        <v>2.2599999999999998</v>
      </c>
      <c r="J34" s="16">
        <v>1.58</v>
      </c>
      <c r="K34" s="16">
        <v>0</v>
      </c>
      <c r="L34" s="15">
        <f t="shared" si="2"/>
        <v>3.84</v>
      </c>
      <c r="M34" s="16">
        <v>6</v>
      </c>
      <c r="N34" s="16">
        <f t="shared" si="3"/>
        <v>9.84</v>
      </c>
      <c r="O34" s="15"/>
      <c r="P34" s="16">
        <v>96.35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15" customHeight="1" x14ac:dyDescent="0.15">
      <c r="A35" s="2">
        <f t="shared" si="4"/>
        <v>28</v>
      </c>
      <c r="B35" s="3" t="s">
        <v>55</v>
      </c>
      <c r="C35" s="4" t="s">
        <v>56</v>
      </c>
      <c r="D35" s="12" t="s">
        <v>16</v>
      </c>
      <c r="E35" s="15"/>
      <c r="F35" s="15"/>
      <c r="G35" s="15">
        <f t="shared" si="0"/>
        <v>0</v>
      </c>
      <c r="H35" s="15">
        <v>2.2599999999999998</v>
      </c>
      <c r="I35" s="16">
        <f t="shared" si="1"/>
        <v>2.2599999999999998</v>
      </c>
      <c r="J35" s="16">
        <v>1.58</v>
      </c>
      <c r="K35" s="16">
        <v>0</v>
      </c>
      <c r="L35" s="15">
        <f t="shared" si="2"/>
        <v>3.84</v>
      </c>
      <c r="M35" s="16">
        <v>6</v>
      </c>
      <c r="N35" s="16">
        <f t="shared" si="3"/>
        <v>9.84</v>
      </c>
      <c r="O35" s="15"/>
      <c r="P35" s="16">
        <v>96.35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5" customHeight="1" x14ac:dyDescent="0.15">
      <c r="A36" s="2">
        <f t="shared" si="4"/>
        <v>29</v>
      </c>
      <c r="B36" s="3" t="s">
        <v>57</v>
      </c>
      <c r="C36" s="4" t="s">
        <v>58</v>
      </c>
      <c r="D36" s="12" t="s">
        <v>16</v>
      </c>
      <c r="E36" s="15"/>
      <c r="F36" s="15"/>
      <c r="G36" s="15">
        <f t="shared" si="0"/>
        <v>0</v>
      </c>
      <c r="H36" s="15">
        <v>2.2599999999999998</v>
      </c>
      <c r="I36" s="16">
        <f t="shared" si="1"/>
        <v>2.2599999999999998</v>
      </c>
      <c r="J36" s="16">
        <v>1.58</v>
      </c>
      <c r="K36" s="16">
        <v>0</v>
      </c>
      <c r="L36" s="15">
        <f t="shared" si="2"/>
        <v>3.84</v>
      </c>
      <c r="M36" s="16">
        <v>6</v>
      </c>
      <c r="N36" s="16">
        <f t="shared" si="3"/>
        <v>9.84</v>
      </c>
      <c r="O36" s="15"/>
      <c r="P36" s="16">
        <v>96.35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15" customHeight="1" x14ac:dyDescent="0.15">
      <c r="A37" s="2">
        <f t="shared" si="4"/>
        <v>30</v>
      </c>
      <c r="B37" s="3" t="s">
        <v>59</v>
      </c>
      <c r="C37" s="4" t="s">
        <v>60</v>
      </c>
      <c r="D37" s="12" t="s">
        <v>13</v>
      </c>
      <c r="E37" s="15"/>
      <c r="F37" s="15"/>
      <c r="G37" s="15">
        <f t="shared" si="0"/>
        <v>0</v>
      </c>
      <c r="H37" s="15">
        <v>2.2599999999999998</v>
      </c>
      <c r="I37" s="16">
        <f t="shared" si="1"/>
        <v>2.2599999999999998</v>
      </c>
      <c r="J37" s="16">
        <v>1.58</v>
      </c>
      <c r="K37" s="16">
        <v>0</v>
      </c>
      <c r="L37" s="15">
        <f t="shared" si="2"/>
        <v>3.84</v>
      </c>
      <c r="M37" s="16">
        <v>6</v>
      </c>
      <c r="N37" s="16">
        <f t="shared" si="3"/>
        <v>9.84</v>
      </c>
      <c r="O37" s="15"/>
      <c r="P37" s="16">
        <v>96.35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15" customHeight="1" x14ac:dyDescent="0.15">
      <c r="A38" s="2">
        <f t="shared" si="4"/>
        <v>31</v>
      </c>
      <c r="B38" s="3" t="s">
        <v>61</v>
      </c>
      <c r="C38" s="4" t="s">
        <v>62</v>
      </c>
      <c r="D38" s="12" t="s">
        <v>13</v>
      </c>
      <c r="E38" s="15"/>
      <c r="F38" s="15"/>
      <c r="G38" s="15">
        <f t="shared" si="0"/>
        <v>0</v>
      </c>
      <c r="H38" s="15">
        <v>2.2599999999999998</v>
      </c>
      <c r="I38" s="16">
        <f t="shared" si="1"/>
        <v>2.2599999999999998</v>
      </c>
      <c r="J38" s="16">
        <v>1.58</v>
      </c>
      <c r="K38" s="16">
        <v>0</v>
      </c>
      <c r="L38" s="15">
        <f t="shared" si="2"/>
        <v>3.84</v>
      </c>
      <c r="M38" s="16">
        <v>6</v>
      </c>
      <c r="N38" s="16">
        <f t="shared" si="3"/>
        <v>9.84</v>
      </c>
      <c r="O38" s="15"/>
      <c r="P38" s="16">
        <v>96.35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15" customHeight="1" x14ac:dyDescent="0.15">
      <c r="A39" s="2">
        <f t="shared" si="4"/>
        <v>32</v>
      </c>
      <c r="B39" s="4" t="s">
        <v>63</v>
      </c>
      <c r="C39" s="4"/>
      <c r="D39" s="12" t="s">
        <v>16</v>
      </c>
      <c r="E39" s="15"/>
      <c r="F39" s="15"/>
      <c r="G39" s="15">
        <f t="shared" si="0"/>
        <v>0</v>
      </c>
      <c r="H39" s="15">
        <v>2.2599999999999998</v>
      </c>
      <c r="I39" s="16">
        <f t="shared" si="1"/>
        <v>2.2599999999999998</v>
      </c>
      <c r="J39" s="16">
        <v>1.58</v>
      </c>
      <c r="K39" s="16">
        <v>0</v>
      </c>
      <c r="L39" s="15">
        <f t="shared" si="2"/>
        <v>3.84</v>
      </c>
      <c r="M39" s="16">
        <v>6</v>
      </c>
      <c r="N39" s="16">
        <f t="shared" si="3"/>
        <v>9.84</v>
      </c>
      <c r="O39" s="15"/>
      <c r="P39" s="16">
        <v>96.35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ht="15" customHeight="1" x14ac:dyDescent="0.15">
      <c r="A40" s="2">
        <f t="shared" si="4"/>
        <v>33</v>
      </c>
      <c r="B40" s="4" t="s">
        <v>64</v>
      </c>
      <c r="C40" s="4" t="s">
        <v>31</v>
      </c>
      <c r="D40" s="12" t="s">
        <v>13</v>
      </c>
      <c r="E40" s="15"/>
      <c r="F40" s="15"/>
      <c r="G40" s="15">
        <f t="shared" si="0"/>
        <v>0</v>
      </c>
      <c r="H40" s="15">
        <v>2.2599999999999998</v>
      </c>
      <c r="I40" s="16">
        <f t="shared" si="1"/>
        <v>2.2599999999999998</v>
      </c>
      <c r="J40" s="16">
        <v>1.58</v>
      </c>
      <c r="K40" s="16">
        <v>0</v>
      </c>
      <c r="L40" s="15">
        <f t="shared" si="2"/>
        <v>3.84</v>
      </c>
      <c r="M40" s="16">
        <v>6</v>
      </c>
      <c r="N40" s="16">
        <f t="shared" si="3"/>
        <v>9.84</v>
      </c>
      <c r="O40" s="15"/>
      <c r="P40" s="16">
        <v>96.35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ht="15" customHeight="1" x14ac:dyDescent="0.15">
      <c r="A41" s="2">
        <f t="shared" si="4"/>
        <v>34</v>
      </c>
      <c r="B41" s="4" t="s">
        <v>65</v>
      </c>
      <c r="C41" s="4" t="s">
        <v>66</v>
      </c>
      <c r="D41" s="12" t="s">
        <v>13</v>
      </c>
      <c r="E41" s="15"/>
      <c r="F41" s="15"/>
      <c r="G41" s="15">
        <f t="shared" si="0"/>
        <v>0</v>
      </c>
      <c r="H41" s="15">
        <v>2.2599999999999998</v>
      </c>
      <c r="I41" s="16">
        <f t="shared" si="1"/>
        <v>2.2599999999999998</v>
      </c>
      <c r="J41" s="16">
        <v>1.58</v>
      </c>
      <c r="K41" s="16">
        <v>0</v>
      </c>
      <c r="L41" s="15">
        <f t="shared" si="2"/>
        <v>3.84</v>
      </c>
      <c r="M41" s="16">
        <v>6</v>
      </c>
      <c r="N41" s="16">
        <f t="shared" si="3"/>
        <v>9.84</v>
      </c>
      <c r="O41" s="15"/>
      <c r="P41" s="16">
        <v>96.35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ht="15" customHeight="1" x14ac:dyDescent="0.15">
      <c r="A42" s="2">
        <f t="shared" si="4"/>
        <v>35</v>
      </c>
      <c r="B42" s="4" t="s">
        <v>67</v>
      </c>
      <c r="C42" s="4" t="s">
        <v>66</v>
      </c>
      <c r="D42" s="12" t="s">
        <v>13</v>
      </c>
      <c r="E42" s="15"/>
      <c r="F42" s="15"/>
      <c r="G42" s="15">
        <f t="shared" si="0"/>
        <v>0</v>
      </c>
      <c r="H42" s="15">
        <v>2.2599999999999998</v>
      </c>
      <c r="I42" s="16">
        <f t="shared" si="1"/>
        <v>2.2599999999999998</v>
      </c>
      <c r="J42" s="16">
        <v>1.58</v>
      </c>
      <c r="K42" s="16">
        <v>0</v>
      </c>
      <c r="L42" s="15">
        <f t="shared" si="2"/>
        <v>3.84</v>
      </c>
      <c r="M42" s="16">
        <v>6</v>
      </c>
      <c r="N42" s="16">
        <f t="shared" si="3"/>
        <v>9.84</v>
      </c>
      <c r="O42" s="15"/>
      <c r="P42" s="16">
        <v>96.35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15" customHeight="1" x14ac:dyDescent="0.15">
      <c r="A43" s="2">
        <f t="shared" si="4"/>
        <v>36</v>
      </c>
      <c r="B43" s="4" t="s">
        <v>68</v>
      </c>
      <c r="C43" s="4" t="s">
        <v>66</v>
      </c>
      <c r="D43" s="12" t="s">
        <v>16</v>
      </c>
      <c r="E43" s="15"/>
      <c r="F43" s="15"/>
      <c r="G43" s="15">
        <f t="shared" si="0"/>
        <v>0</v>
      </c>
      <c r="H43" s="15">
        <v>2.2599999999999998</v>
      </c>
      <c r="I43" s="16">
        <f t="shared" si="1"/>
        <v>2.2599999999999998</v>
      </c>
      <c r="J43" s="16">
        <v>1.58</v>
      </c>
      <c r="K43" s="16">
        <v>0</v>
      </c>
      <c r="L43" s="15">
        <f t="shared" si="2"/>
        <v>3.84</v>
      </c>
      <c r="M43" s="16">
        <v>6</v>
      </c>
      <c r="N43" s="16">
        <f t="shared" si="3"/>
        <v>9.84</v>
      </c>
      <c r="O43" s="15"/>
      <c r="P43" s="16">
        <v>96.35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15" customHeight="1" x14ac:dyDescent="0.15">
      <c r="A44" s="2">
        <f t="shared" si="4"/>
        <v>37</v>
      </c>
      <c r="B44" s="4" t="s">
        <v>69</v>
      </c>
      <c r="C44" s="4" t="s">
        <v>70</v>
      </c>
      <c r="D44" s="12" t="s">
        <v>13</v>
      </c>
      <c r="E44" s="15"/>
      <c r="F44" s="15"/>
      <c r="G44" s="15">
        <f t="shared" si="0"/>
        <v>0</v>
      </c>
      <c r="H44" s="15">
        <v>2.2599999999999998</v>
      </c>
      <c r="I44" s="16">
        <f t="shared" si="1"/>
        <v>2.2599999999999998</v>
      </c>
      <c r="J44" s="16">
        <v>1.58</v>
      </c>
      <c r="K44" s="16">
        <v>0</v>
      </c>
      <c r="L44" s="15">
        <f t="shared" si="2"/>
        <v>3.84</v>
      </c>
      <c r="M44" s="16">
        <v>6</v>
      </c>
      <c r="N44" s="16">
        <f t="shared" si="3"/>
        <v>9.84</v>
      </c>
      <c r="O44" s="15"/>
      <c r="P44" s="16">
        <v>96.35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15" customHeight="1" x14ac:dyDescent="0.15">
      <c r="A45" s="2">
        <f t="shared" si="4"/>
        <v>38</v>
      </c>
      <c r="B45" s="4" t="s">
        <v>71</v>
      </c>
      <c r="C45" s="4" t="s">
        <v>70</v>
      </c>
      <c r="D45" s="12" t="s">
        <v>13</v>
      </c>
      <c r="E45" s="15"/>
      <c r="F45" s="15"/>
      <c r="G45" s="15">
        <f t="shared" si="0"/>
        <v>0</v>
      </c>
      <c r="H45" s="15">
        <v>2.2599999999999998</v>
      </c>
      <c r="I45" s="16">
        <f t="shared" si="1"/>
        <v>2.2599999999999998</v>
      </c>
      <c r="J45" s="16">
        <v>1.58</v>
      </c>
      <c r="K45" s="16">
        <v>0</v>
      </c>
      <c r="L45" s="15">
        <f t="shared" si="2"/>
        <v>3.84</v>
      </c>
      <c r="M45" s="16">
        <v>6</v>
      </c>
      <c r="N45" s="16">
        <f t="shared" si="3"/>
        <v>9.84</v>
      </c>
      <c r="O45" s="15"/>
      <c r="P45" s="16">
        <v>96.35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ht="15" customHeight="1" x14ac:dyDescent="0.15">
      <c r="A46" s="2">
        <f t="shared" si="4"/>
        <v>39</v>
      </c>
      <c r="B46" s="4" t="s">
        <v>72</v>
      </c>
      <c r="C46" s="4" t="s">
        <v>31</v>
      </c>
      <c r="D46" s="12" t="s">
        <v>13</v>
      </c>
      <c r="E46" s="15"/>
      <c r="F46" s="15"/>
      <c r="G46" s="15">
        <f t="shared" si="0"/>
        <v>0</v>
      </c>
      <c r="H46" s="15">
        <v>2.2599999999999998</v>
      </c>
      <c r="I46" s="16">
        <f t="shared" si="1"/>
        <v>2.2599999999999998</v>
      </c>
      <c r="J46" s="16">
        <v>1.58</v>
      </c>
      <c r="K46" s="16">
        <v>0</v>
      </c>
      <c r="L46" s="15">
        <f t="shared" si="2"/>
        <v>3.84</v>
      </c>
      <c r="M46" s="16">
        <v>6</v>
      </c>
      <c r="N46" s="16">
        <f t="shared" si="3"/>
        <v>9.84</v>
      </c>
      <c r="O46" s="15"/>
      <c r="P46" s="16">
        <v>96.35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</sheetData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46"/>
  <sheetViews>
    <sheetView showGridLines="0" workbookViewId="0">
      <selection activeCell="AB7" sqref="AB7:AB8"/>
    </sheetView>
  </sheetViews>
  <sheetFormatPr baseColWidth="10" defaultColWidth="8.83203125" defaultRowHeight="13" x14ac:dyDescent="0.15"/>
  <cols>
    <col min="1" max="1" width="8" customWidth="1"/>
    <col min="2" max="2" width="26" bestFit="1" customWidth="1"/>
    <col min="3" max="3" width="18.1640625" bestFit="1" customWidth="1"/>
    <col min="4" max="4" width="9.1640625" customWidth="1"/>
    <col min="5" max="5" width="12.5" customWidth="1"/>
    <col min="6" max="6" width="16.6640625" customWidth="1"/>
    <col min="7" max="7" width="18.5" customWidth="1"/>
    <col min="9" max="9" width="21.1640625" customWidth="1"/>
    <col min="10" max="10" width="14.1640625" customWidth="1"/>
    <col min="11" max="11" width="15" customWidth="1"/>
    <col min="12" max="12" width="17" customWidth="1"/>
    <col min="13" max="13" width="16.33203125" customWidth="1"/>
    <col min="14" max="14" width="16.1640625" customWidth="1"/>
    <col min="15" max="15" width="11.5" customWidth="1"/>
    <col min="16" max="16" width="17.5" customWidth="1"/>
  </cols>
  <sheetData>
    <row r="1" spans="1:34" x14ac:dyDescent="0.15">
      <c r="A1" s="1" t="s">
        <v>0</v>
      </c>
      <c r="C1" s="8" t="s">
        <v>85</v>
      </c>
      <c r="D1" s="10"/>
      <c r="E1" t="s">
        <v>86</v>
      </c>
      <c r="F1" s="1"/>
    </row>
    <row r="2" spans="1:34" x14ac:dyDescent="0.15">
      <c r="A2" s="1" t="s">
        <v>1</v>
      </c>
      <c r="D2" s="9"/>
      <c r="E2" t="s">
        <v>87</v>
      </c>
    </row>
    <row r="3" spans="1:34" x14ac:dyDescent="0.15">
      <c r="A3" s="1" t="s">
        <v>2</v>
      </c>
      <c r="D3" s="11"/>
      <c r="E3" t="s">
        <v>88</v>
      </c>
    </row>
    <row r="4" spans="1:34" x14ac:dyDescent="0.15">
      <c r="A4" s="1"/>
    </row>
    <row r="5" spans="1:34" ht="20" customHeight="1" x14ac:dyDescent="0.15">
      <c r="A5" s="7" t="s">
        <v>91</v>
      </c>
    </row>
    <row r="6" spans="1:34" ht="5" customHeight="1" x14ac:dyDescent="0.15"/>
    <row r="7" spans="1:34" s="14" customFormat="1" ht="20" customHeight="1" x14ac:dyDescent="0.15">
      <c r="A7" s="17" t="s">
        <v>3</v>
      </c>
      <c r="B7" s="18" t="s">
        <v>4</v>
      </c>
      <c r="C7" s="18" t="s">
        <v>5</v>
      </c>
      <c r="D7" s="18" t="s">
        <v>6</v>
      </c>
      <c r="E7" s="19" t="s">
        <v>7</v>
      </c>
      <c r="F7" s="19" t="s">
        <v>73</v>
      </c>
      <c r="G7" s="19" t="s">
        <v>77</v>
      </c>
      <c r="H7" s="19" t="s">
        <v>74</v>
      </c>
      <c r="I7" s="19" t="s">
        <v>78</v>
      </c>
      <c r="J7" s="19" t="s">
        <v>75</v>
      </c>
      <c r="K7" s="19" t="s">
        <v>76</v>
      </c>
      <c r="L7" s="19" t="s">
        <v>79</v>
      </c>
      <c r="M7" s="19" t="s">
        <v>80</v>
      </c>
      <c r="N7" s="19" t="s">
        <v>81</v>
      </c>
      <c r="O7" s="19" t="s">
        <v>82</v>
      </c>
      <c r="P7" s="20" t="s">
        <v>84</v>
      </c>
    </row>
    <row r="8" spans="1:34" ht="15" customHeight="1" x14ac:dyDescent="0.15">
      <c r="A8" s="2">
        <v>1</v>
      </c>
      <c r="B8" s="3" t="s">
        <v>8</v>
      </c>
      <c r="C8" s="4" t="s">
        <v>9</v>
      </c>
      <c r="D8" s="12" t="s">
        <v>10</v>
      </c>
      <c r="E8" s="15"/>
      <c r="F8" s="15"/>
      <c r="G8" s="15">
        <f>E8+F8</f>
        <v>0</v>
      </c>
      <c r="H8" s="15">
        <v>1.18</v>
      </c>
      <c r="I8" s="16">
        <f>H8+G8</f>
        <v>1.18</v>
      </c>
      <c r="J8" s="15"/>
      <c r="K8" s="15"/>
      <c r="L8" s="15">
        <f>I8+J8+K8</f>
        <v>1.18</v>
      </c>
      <c r="M8" s="16">
        <v>18</v>
      </c>
      <c r="N8" s="15">
        <f>M8+L8</f>
        <v>19.18</v>
      </c>
      <c r="O8" s="15"/>
      <c r="P8" s="16">
        <v>82.43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ht="15" customHeight="1" x14ac:dyDescent="0.15">
      <c r="A9" s="2">
        <v>2</v>
      </c>
      <c r="B9" s="3" t="s">
        <v>11</v>
      </c>
      <c r="C9" s="6" t="s">
        <v>12</v>
      </c>
      <c r="D9" s="12" t="s">
        <v>13</v>
      </c>
      <c r="E9" s="15"/>
      <c r="F9" s="15"/>
      <c r="G9" s="15">
        <f t="shared" ref="G9:G46" si="0">E9+F9</f>
        <v>0</v>
      </c>
      <c r="H9" s="15">
        <v>1.18</v>
      </c>
      <c r="I9" s="16">
        <f t="shared" ref="I9:I46" si="1">H9+G9</f>
        <v>1.18</v>
      </c>
      <c r="J9" s="15"/>
      <c r="K9" s="15"/>
      <c r="L9" s="15">
        <f t="shared" ref="L9:L46" si="2">I9+J9+K9</f>
        <v>1.18</v>
      </c>
      <c r="M9" s="16">
        <v>18</v>
      </c>
      <c r="N9" s="15">
        <f t="shared" ref="N9:N46" si="3">M9+L9</f>
        <v>19.18</v>
      </c>
      <c r="O9" s="15"/>
      <c r="P9" s="16">
        <v>82.43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ht="15" customHeight="1" x14ac:dyDescent="0.15">
      <c r="A10" s="2">
        <f>A9+1</f>
        <v>3</v>
      </c>
      <c r="B10" s="3" t="s">
        <v>14</v>
      </c>
      <c r="C10" s="6" t="s">
        <v>15</v>
      </c>
      <c r="D10" s="12" t="s">
        <v>16</v>
      </c>
      <c r="E10" s="15"/>
      <c r="F10" s="15"/>
      <c r="G10" s="15">
        <f t="shared" si="0"/>
        <v>0</v>
      </c>
      <c r="H10" s="15">
        <v>1.18</v>
      </c>
      <c r="I10" s="16">
        <f t="shared" si="1"/>
        <v>1.18</v>
      </c>
      <c r="J10" s="15"/>
      <c r="K10" s="15"/>
      <c r="L10" s="15">
        <f t="shared" si="2"/>
        <v>1.18</v>
      </c>
      <c r="M10" s="16">
        <v>18</v>
      </c>
      <c r="N10" s="15">
        <f t="shared" si="3"/>
        <v>19.18</v>
      </c>
      <c r="O10" s="15"/>
      <c r="P10" s="16">
        <v>82.43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 ht="15" customHeight="1" x14ac:dyDescent="0.15">
      <c r="A11" s="2">
        <f t="shared" ref="A11:A46" si="4">A10+1</f>
        <v>4</v>
      </c>
      <c r="B11" s="3" t="s">
        <v>17</v>
      </c>
      <c r="C11" s="6" t="s">
        <v>18</v>
      </c>
      <c r="D11" s="12" t="s">
        <v>16</v>
      </c>
      <c r="E11" s="15"/>
      <c r="F11" s="15"/>
      <c r="G11" s="15">
        <f t="shared" si="0"/>
        <v>0</v>
      </c>
      <c r="H11" s="15">
        <v>1.18</v>
      </c>
      <c r="I11" s="16">
        <f t="shared" si="1"/>
        <v>1.18</v>
      </c>
      <c r="J11" s="15"/>
      <c r="K11" s="15"/>
      <c r="L11" s="15">
        <f t="shared" si="2"/>
        <v>1.18</v>
      </c>
      <c r="M11" s="16">
        <v>18</v>
      </c>
      <c r="N11" s="15">
        <f t="shared" si="3"/>
        <v>19.18</v>
      </c>
      <c r="O11" s="15"/>
      <c r="P11" s="16">
        <v>82.43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ht="15" customHeight="1" x14ac:dyDescent="0.15">
      <c r="A12" s="2">
        <f t="shared" si="4"/>
        <v>5</v>
      </c>
      <c r="B12" s="3" t="s">
        <v>19</v>
      </c>
      <c r="C12" s="6" t="s">
        <v>20</v>
      </c>
      <c r="D12" s="12" t="s">
        <v>21</v>
      </c>
      <c r="E12" s="15"/>
      <c r="F12" s="15"/>
      <c r="G12" s="15">
        <f t="shared" si="0"/>
        <v>0</v>
      </c>
      <c r="H12" s="15">
        <v>1.18</v>
      </c>
      <c r="I12" s="16">
        <f t="shared" si="1"/>
        <v>1.18</v>
      </c>
      <c r="J12" s="15"/>
      <c r="K12" s="15"/>
      <c r="L12" s="15">
        <f t="shared" si="2"/>
        <v>1.18</v>
      </c>
      <c r="M12" s="16">
        <v>18</v>
      </c>
      <c r="N12" s="15">
        <f t="shared" si="3"/>
        <v>19.18</v>
      </c>
      <c r="O12" s="15"/>
      <c r="P12" s="16">
        <v>82.43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5" customHeight="1" x14ac:dyDescent="0.15">
      <c r="A13" s="2">
        <f t="shared" si="4"/>
        <v>6</v>
      </c>
      <c r="B13" s="3" t="s">
        <v>22</v>
      </c>
      <c r="C13" s="4" t="s">
        <v>18</v>
      </c>
      <c r="D13" s="12" t="s">
        <v>13</v>
      </c>
      <c r="E13" s="15"/>
      <c r="F13" s="15"/>
      <c r="G13" s="15">
        <f t="shared" si="0"/>
        <v>0</v>
      </c>
      <c r="H13" s="15">
        <v>1.18</v>
      </c>
      <c r="I13" s="16">
        <f t="shared" si="1"/>
        <v>1.18</v>
      </c>
      <c r="J13" s="15"/>
      <c r="K13" s="15"/>
      <c r="L13" s="15">
        <f t="shared" si="2"/>
        <v>1.18</v>
      </c>
      <c r="M13" s="16">
        <v>18</v>
      </c>
      <c r="N13" s="15">
        <f t="shared" si="3"/>
        <v>19.18</v>
      </c>
      <c r="O13" s="15"/>
      <c r="P13" s="16">
        <v>82.43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15" customHeight="1" x14ac:dyDescent="0.15">
      <c r="A14" s="2">
        <f t="shared" si="4"/>
        <v>7</v>
      </c>
      <c r="B14" s="3" t="s">
        <v>23</v>
      </c>
      <c r="C14" s="4" t="s">
        <v>24</v>
      </c>
      <c r="D14" s="12" t="s">
        <v>25</v>
      </c>
      <c r="E14" s="15"/>
      <c r="F14" s="15"/>
      <c r="G14" s="15">
        <f t="shared" si="0"/>
        <v>0</v>
      </c>
      <c r="H14" s="15">
        <v>1.18</v>
      </c>
      <c r="I14" s="16">
        <f t="shared" si="1"/>
        <v>1.18</v>
      </c>
      <c r="J14" s="15"/>
      <c r="K14" s="15"/>
      <c r="L14" s="15">
        <f t="shared" si="2"/>
        <v>1.18</v>
      </c>
      <c r="M14" s="16">
        <v>18</v>
      </c>
      <c r="N14" s="15">
        <f t="shared" si="3"/>
        <v>19.18</v>
      </c>
      <c r="O14" s="15"/>
      <c r="P14" s="16">
        <v>82.43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5" customHeight="1" x14ac:dyDescent="0.15">
      <c r="A15" s="2">
        <f t="shared" si="4"/>
        <v>8</v>
      </c>
      <c r="B15" s="3" t="s">
        <v>26</v>
      </c>
      <c r="C15" s="4" t="s">
        <v>27</v>
      </c>
      <c r="D15" s="12" t="s">
        <v>13</v>
      </c>
      <c r="E15" s="15"/>
      <c r="F15" s="15"/>
      <c r="G15" s="15">
        <f t="shared" si="0"/>
        <v>0</v>
      </c>
      <c r="H15" s="15">
        <v>1.18</v>
      </c>
      <c r="I15" s="16">
        <f t="shared" si="1"/>
        <v>1.18</v>
      </c>
      <c r="J15" s="15"/>
      <c r="K15" s="15"/>
      <c r="L15" s="15">
        <f t="shared" si="2"/>
        <v>1.18</v>
      </c>
      <c r="M15" s="16">
        <v>18</v>
      </c>
      <c r="N15" s="15">
        <f t="shared" si="3"/>
        <v>19.18</v>
      </c>
      <c r="O15" s="15"/>
      <c r="P15" s="16">
        <v>82.43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5" customHeight="1" x14ac:dyDescent="0.15">
      <c r="A16" s="2">
        <f t="shared" si="4"/>
        <v>9</v>
      </c>
      <c r="B16" s="3" t="s">
        <v>28</v>
      </c>
      <c r="C16" s="4" t="s">
        <v>9</v>
      </c>
      <c r="D16" s="12" t="s">
        <v>10</v>
      </c>
      <c r="E16" s="15"/>
      <c r="F16" s="15"/>
      <c r="G16" s="15">
        <f t="shared" si="0"/>
        <v>0</v>
      </c>
      <c r="H16" s="15">
        <v>1.18</v>
      </c>
      <c r="I16" s="16">
        <f t="shared" si="1"/>
        <v>1.18</v>
      </c>
      <c r="J16" s="15"/>
      <c r="K16" s="15"/>
      <c r="L16" s="15">
        <f t="shared" si="2"/>
        <v>1.18</v>
      </c>
      <c r="M16" s="16">
        <v>18</v>
      </c>
      <c r="N16" s="15">
        <f t="shared" si="3"/>
        <v>19.18</v>
      </c>
      <c r="O16" s="15"/>
      <c r="P16" s="16">
        <v>82.43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5" customHeight="1" x14ac:dyDescent="0.15">
      <c r="A17" s="2">
        <f t="shared" si="4"/>
        <v>10</v>
      </c>
      <c r="B17" s="3" t="s">
        <v>29</v>
      </c>
      <c r="C17" s="4" t="s">
        <v>9</v>
      </c>
      <c r="D17" s="12" t="s">
        <v>16</v>
      </c>
      <c r="E17" s="15"/>
      <c r="F17" s="15"/>
      <c r="G17" s="15">
        <f t="shared" si="0"/>
        <v>0</v>
      </c>
      <c r="H17" s="15">
        <v>1.18</v>
      </c>
      <c r="I17" s="16">
        <f t="shared" si="1"/>
        <v>1.18</v>
      </c>
      <c r="J17" s="15"/>
      <c r="K17" s="15"/>
      <c r="L17" s="15">
        <f t="shared" si="2"/>
        <v>1.18</v>
      </c>
      <c r="M17" s="16">
        <v>18</v>
      </c>
      <c r="N17" s="15">
        <f t="shared" si="3"/>
        <v>19.18</v>
      </c>
      <c r="O17" s="15"/>
      <c r="P17" s="16">
        <v>82.43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5" customHeight="1" x14ac:dyDescent="0.15">
      <c r="A18" s="2">
        <f t="shared" si="4"/>
        <v>11</v>
      </c>
      <c r="B18" s="3" t="s">
        <v>30</v>
      </c>
      <c r="C18" s="4" t="s">
        <v>31</v>
      </c>
      <c r="D18" s="12" t="s">
        <v>16</v>
      </c>
      <c r="E18" s="15"/>
      <c r="F18" s="15"/>
      <c r="G18" s="15">
        <f t="shared" si="0"/>
        <v>0</v>
      </c>
      <c r="H18" s="15">
        <v>1.18</v>
      </c>
      <c r="I18" s="16">
        <f t="shared" si="1"/>
        <v>1.18</v>
      </c>
      <c r="J18" s="15"/>
      <c r="K18" s="15"/>
      <c r="L18" s="15">
        <f t="shared" si="2"/>
        <v>1.18</v>
      </c>
      <c r="M18" s="16">
        <v>18</v>
      </c>
      <c r="N18" s="15">
        <f t="shared" si="3"/>
        <v>19.18</v>
      </c>
      <c r="O18" s="15"/>
      <c r="P18" s="16">
        <v>82.43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5" customHeight="1" x14ac:dyDescent="0.15">
      <c r="A19" s="2">
        <f t="shared" si="4"/>
        <v>12</v>
      </c>
      <c r="B19" s="3" t="s">
        <v>32</v>
      </c>
      <c r="C19" s="4" t="s">
        <v>31</v>
      </c>
      <c r="D19" s="12" t="s">
        <v>16</v>
      </c>
      <c r="E19" s="15"/>
      <c r="F19" s="15"/>
      <c r="G19" s="15">
        <f t="shared" si="0"/>
        <v>0</v>
      </c>
      <c r="H19" s="15">
        <v>1.18</v>
      </c>
      <c r="I19" s="16">
        <f t="shared" si="1"/>
        <v>1.18</v>
      </c>
      <c r="J19" s="15"/>
      <c r="K19" s="15"/>
      <c r="L19" s="15">
        <f t="shared" si="2"/>
        <v>1.18</v>
      </c>
      <c r="M19" s="16">
        <v>18</v>
      </c>
      <c r="N19" s="15">
        <f t="shared" si="3"/>
        <v>19.18</v>
      </c>
      <c r="O19" s="15"/>
      <c r="P19" s="16">
        <v>82.43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 ht="15" customHeight="1" x14ac:dyDescent="0.15">
      <c r="A20" s="2">
        <f t="shared" si="4"/>
        <v>13</v>
      </c>
      <c r="B20" s="3" t="s">
        <v>33</v>
      </c>
      <c r="C20" s="4" t="s">
        <v>31</v>
      </c>
      <c r="D20" s="12" t="s">
        <v>13</v>
      </c>
      <c r="E20" s="15"/>
      <c r="F20" s="15"/>
      <c r="G20" s="15">
        <f t="shared" si="0"/>
        <v>0</v>
      </c>
      <c r="H20" s="15">
        <v>1.18</v>
      </c>
      <c r="I20" s="16">
        <f t="shared" si="1"/>
        <v>1.18</v>
      </c>
      <c r="J20" s="15"/>
      <c r="K20" s="15"/>
      <c r="L20" s="15">
        <f t="shared" si="2"/>
        <v>1.18</v>
      </c>
      <c r="M20" s="16">
        <v>18</v>
      </c>
      <c r="N20" s="15">
        <f t="shared" si="3"/>
        <v>19.18</v>
      </c>
      <c r="O20" s="15"/>
      <c r="P20" s="16">
        <v>82.43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ht="15" customHeight="1" x14ac:dyDescent="0.15">
      <c r="A21" s="2">
        <f t="shared" si="4"/>
        <v>14</v>
      </c>
      <c r="B21" s="3" t="s">
        <v>34</v>
      </c>
      <c r="C21" s="4" t="s">
        <v>35</v>
      </c>
      <c r="D21" s="12" t="s">
        <v>13</v>
      </c>
      <c r="E21" s="15"/>
      <c r="F21" s="15"/>
      <c r="G21" s="15">
        <f t="shared" si="0"/>
        <v>0</v>
      </c>
      <c r="H21" s="15">
        <v>1.18</v>
      </c>
      <c r="I21" s="16">
        <f t="shared" si="1"/>
        <v>1.18</v>
      </c>
      <c r="J21" s="15"/>
      <c r="K21" s="15"/>
      <c r="L21" s="15">
        <f t="shared" si="2"/>
        <v>1.18</v>
      </c>
      <c r="M21" s="16">
        <v>18</v>
      </c>
      <c r="N21" s="15">
        <f t="shared" si="3"/>
        <v>19.18</v>
      </c>
      <c r="O21" s="15"/>
      <c r="P21" s="16">
        <v>82.43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 ht="15" customHeight="1" x14ac:dyDescent="0.15">
      <c r="A22" s="2">
        <f t="shared" si="4"/>
        <v>15</v>
      </c>
      <c r="B22" s="3" t="s">
        <v>36</v>
      </c>
      <c r="C22" s="4" t="s">
        <v>37</v>
      </c>
      <c r="D22" s="12" t="s">
        <v>13</v>
      </c>
      <c r="E22" s="15"/>
      <c r="F22" s="15"/>
      <c r="G22" s="15">
        <f t="shared" si="0"/>
        <v>0</v>
      </c>
      <c r="H22" s="15">
        <v>1.18</v>
      </c>
      <c r="I22" s="16">
        <f t="shared" si="1"/>
        <v>1.18</v>
      </c>
      <c r="J22" s="15"/>
      <c r="K22" s="15"/>
      <c r="L22" s="15">
        <f t="shared" si="2"/>
        <v>1.18</v>
      </c>
      <c r="M22" s="16">
        <v>18</v>
      </c>
      <c r="N22" s="15">
        <f t="shared" si="3"/>
        <v>19.18</v>
      </c>
      <c r="O22" s="15"/>
      <c r="P22" s="16">
        <v>82.43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 ht="15" customHeight="1" x14ac:dyDescent="0.15">
      <c r="A23" s="2">
        <f t="shared" si="4"/>
        <v>16</v>
      </c>
      <c r="B23" s="3" t="s">
        <v>38</v>
      </c>
      <c r="C23" s="4" t="s">
        <v>39</v>
      </c>
      <c r="D23" s="12" t="s">
        <v>21</v>
      </c>
      <c r="E23" s="15"/>
      <c r="F23" s="15"/>
      <c r="G23" s="15">
        <f t="shared" si="0"/>
        <v>0</v>
      </c>
      <c r="H23" s="15">
        <v>1.18</v>
      </c>
      <c r="I23" s="16">
        <f t="shared" si="1"/>
        <v>1.18</v>
      </c>
      <c r="J23" s="15"/>
      <c r="K23" s="15"/>
      <c r="L23" s="15">
        <f t="shared" si="2"/>
        <v>1.18</v>
      </c>
      <c r="M23" s="16">
        <v>18</v>
      </c>
      <c r="N23" s="15">
        <f t="shared" si="3"/>
        <v>19.18</v>
      </c>
      <c r="O23" s="15"/>
      <c r="P23" s="16">
        <v>82.43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ht="15" customHeight="1" x14ac:dyDescent="0.15">
      <c r="A24" s="2">
        <f t="shared" si="4"/>
        <v>17</v>
      </c>
      <c r="B24" s="3" t="s">
        <v>40</v>
      </c>
      <c r="C24" s="4" t="s">
        <v>15</v>
      </c>
      <c r="D24" s="12" t="s">
        <v>25</v>
      </c>
      <c r="E24" s="15"/>
      <c r="F24" s="15"/>
      <c r="G24" s="15">
        <f t="shared" si="0"/>
        <v>0</v>
      </c>
      <c r="H24" s="15">
        <v>1.18</v>
      </c>
      <c r="I24" s="16">
        <f t="shared" si="1"/>
        <v>1.18</v>
      </c>
      <c r="J24" s="15"/>
      <c r="K24" s="15"/>
      <c r="L24" s="15">
        <f t="shared" si="2"/>
        <v>1.18</v>
      </c>
      <c r="M24" s="16">
        <v>18</v>
      </c>
      <c r="N24" s="15">
        <f t="shared" si="3"/>
        <v>19.18</v>
      </c>
      <c r="O24" s="15"/>
      <c r="P24" s="16">
        <v>82.43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ht="15" customHeight="1" x14ac:dyDescent="0.15">
      <c r="A25" s="2">
        <f t="shared" si="4"/>
        <v>18</v>
      </c>
      <c r="B25" s="3" t="s">
        <v>41</v>
      </c>
      <c r="C25" s="4" t="s">
        <v>15</v>
      </c>
      <c r="D25" s="12" t="s">
        <v>13</v>
      </c>
      <c r="E25" s="15"/>
      <c r="F25" s="15"/>
      <c r="G25" s="15">
        <f t="shared" si="0"/>
        <v>0</v>
      </c>
      <c r="H25" s="15">
        <v>1.18</v>
      </c>
      <c r="I25" s="16">
        <f t="shared" si="1"/>
        <v>1.18</v>
      </c>
      <c r="J25" s="15"/>
      <c r="K25" s="15"/>
      <c r="L25" s="15">
        <f t="shared" si="2"/>
        <v>1.18</v>
      </c>
      <c r="M25" s="16">
        <v>18</v>
      </c>
      <c r="N25" s="15">
        <f t="shared" si="3"/>
        <v>19.18</v>
      </c>
      <c r="O25" s="15"/>
      <c r="P25" s="16">
        <v>82.43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ht="15" customHeight="1" x14ac:dyDescent="0.15">
      <c r="A26" s="2">
        <f t="shared" si="4"/>
        <v>19</v>
      </c>
      <c r="B26" s="3" t="s">
        <v>42</v>
      </c>
      <c r="C26" s="4" t="s">
        <v>43</v>
      </c>
      <c r="D26" s="12" t="s">
        <v>25</v>
      </c>
      <c r="E26" s="15"/>
      <c r="F26" s="15"/>
      <c r="G26" s="15">
        <f t="shared" si="0"/>
        <v>0</v>
      </c>
      <c r="H26" s="15">
        <v>1.18</v>
      </c>
      <c r="I26" s="16">
        <f t="shared" si="1"/>
        <v>1.18</v>
      </c>
      <c r="J26" s="15"/>
      <c r="K26" s="15"/>
      <c r="L26" s="15">
        <f t="shared" si="2"/>
        <v>1.18</v>
      </c>
      <c r="M26" s="16">
        <v>18</v>
      </c>
      <c r="N26" s="15">
        <f t="shared" si="3"/>
        <v>19.18</v>
      </c>
      <c r="O26" s="15"/>
      <c r="P26" s="16">
        <v>82.43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ht="15" customHeight="1" x14ac:dyDescent="0.15">
      <c r="A27" s="2">
        <f t="shared" si="4"/>
        <v>20</v>
      </c>
      <c r="B27" s="3" t="s">
        <v>44</v>
      </c>
      <c r="C27" s="4" t="s">
        <v>45</v>
      </c>
      <c r="D27" s="12" t="s">
        <v>16</v>
      </c>
      <c r="E27" s="15"/>
      <c r="F27" s="15"/>
      <c r="G27" s="15">
        <f t="shared" si="0"/>
        <v>0</v>
      </c>
      <c r="H27" s="15">
        <v>1.18</v>
      </c>
      <c r="I27" s="16">
        <f t="shared" si="1"/>
        <v>1.18</v>
      </c>
      <c r="J27" s="15"/>
      <c r="K27" s="15"/>
      <c r="L27" s="15">
        <f t="shared" si="2"/>
        <v>1.18</v>
      </c>
      <c r="M27" s="16">
        <v>18</v>
      </c>
      <c r="N27" s="15">
        <f t="shared" si="3"/>
        <v>19.18</v>
      </c>
      <c r="O27" s="15"/>
      <c r="P27" s="16">
        <v>82.43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ht="15" customHeight="1" x14ac:dyDescent="0.15">
      <c r="A28" s="2">
        <f t="shared" si="4"/>
        <v>21</v>
      </c>
      <c r="B28" s="3" t="s">
        <v>46</v>
      </c>
      <c r="C28" s="4"/>
      <c r="D28" s="12" t="s">
        <v>16</v>
      </c>
      <c r="E28" s="15"/>
      <c r="F28" s="15"/>
      <c r="G28" s="15">
        <f t="shared" si="0"/>
        <v>0</v>
      </c>
      <c r="H28" s="15">
        <v>1.18</v>
      </c>
      <c r="I28" s="16">
        <f t="shared" si="1"/>
        <v>1.18</v>
      </c>
      <c r="J28" s="15"/>
      <c r="K28" s="15"/>
      <c r="L28" s="15">
        <f t="shared" si="2"/>
        <v>1.18</v>
      </c>
      <c r="M28" s="16">
        <v>18</v>
      </c>
      <c r="N28" s="15">
        <f t="shared" si="3"/>
        <v>19.18</v>
      </c>
      <c r="O28" s="15"/>
      <c r="P28" s="16">
        <v>82.43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ht="15" customHeight="1" x14ac:dyDescent="0.15">
      <c r="A29" s="2">
        <f t="shared" si="4"/>
        <v>22</v>
      </c>
      <c r="B29" s="3" t="s">
        <v>47</v>
      </c>
      <c r="C29" s="4"/>
      <c r="D29" s="12" t="s">
        <v>16</v>
      </c>
      <c r="E29" s="15"/>
      <c r="F29" s="15"/>
      <c r="G29" s="15">
        <f t="shared" si="0"/>
        <v>0</v>
      </c>
      <c r="H29" s="15">
        <v>1.18</v>
      </c>
      <c r="I29" s="16">
        <f t="shared" si="1"/>
        <v>1.18</v>
      </c>
      <c r="J29" s="15"/>
      <c r="K29" s="15"/>
      <c r="L29" s="15">
        <f t="shared" si="2"/>
        <v>1.18</v>
      </c>
      <c r="M29" s="16">
        <v>18</v>
      </c>
      <c r="N29" s="15">
        <f t="shared" si="3"/>
        <v>19.18</v>
      </c>
      <c r="O29" s="15"/>
      <c r="P29" s="16">
        <v>82.43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ht="15" customHeight="1" x14ac:dyDescent="0.15">
      <c r="A30" s="2">
        <f t="shared" si="4"/>
        <v>23</v>
      </c>
      <c r="B30" s="3" t="s">
        <v>48</v>
      </c>
      <c r="C30" s="4"/>
      <c r="D30" s="12" t="s">
        <v>13</v>
      </c>
      <c r="E30" s="15"/>
      <c r="F30" s="15"/>
      <c r="G30" s="15">
        <f t="shared" si="0"/>
        <v>0</v>
      </c>
      <c r="H30" s="15">
        <v>1.18</v>
      </c>
      <c r="I30" s="16">
        <f t="shared" si="1"/>
        <v>1.18</v>
      </c>
      <c r="J30" s="15"/>
      <c r="K30" s="15"/>
      <c r="L30" s="15">
        <f t="shared" si="2"/>
        <v>1.18</v>
      </c>
      <c r="M30" s="16">
        <v>18</v>
      </c>
      <c r="N30" s="15">
        <f t="shared" si="3"/>
        <v>19.18</v>
      </c>
      <c r="O30" s="15"/>
      <c r="P30" s="16">
        <v>82.43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5" customHeight="1" x14ac:dyDescent="0.15">
      <c r="A31" s="2">
        <f t="shared" si="4"/>
        <v>24</v>
      </c>
      <c r="B31" s="3" t="s">
        <v>49</v>
      </c>
      <c r="C31" s="4"/>
      <c r="D31" s="12" t="s">
        <v>21</v>
      </c>
      <c r="E31" s="15"/>
      <c r="F31" s="15"/>
      <c r="G31" s="15">
        <f t="shared" si="0"/>
        <v>0</v>
      </c>
      <c r="H31" s="15">
        <v>1.18</v>
      </c>
      <c r="I31" s="16">
        <f t="shared" si="1"/>
        <v>1.18</v>
      </c>
      <c r="J31" s="15"/>
      <c r="K31" s="15"/>
      <c r="L31" s="15">
        <f t="shared" si="2"/>
        <v>1.18</v>
      </c>
      <c r="M31" s="16">
        <v>18</v>
      </c>
      <c r="N31" s="15">
        <f t="shared" si="3"/>
        <v>19.18</v>
      </c>
      <c r="O31" s="15"/>
      <c r="P31" s="16">
        <v>82.43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5" customHeight="1" x14ac:dyDescent="0.15">
      <c r="A32" s="2">
        <f t="shared" si="4"/>
        <v>25</v>
      </c>
      <c r="B32" s="3" t="s">
        <v>50</v>
      </c>
      <c r="C32" s="4" t="s">
        <v>51</v>
      </c>
      <c r="D32" s="12" t="s">
        <v>13</v>
      </c>
      <c r="E32" s="15"/>
      <c r="F32" s="15"/>
      <c r="G32" s="15">
        <f t="shared" si="0"/>
        <v>0</v>
      </c>
      <c r="H32" s="15">
        <v>1.18</v>
      </c>
      <c r="I32" s="16">
        <f t="shared" si="1"/>
        <v>1.18</v>
      </c>
      <c r="J32" s="15"/>
      <c r="K32" s="15"/>
      <c r="L32" s="15">
        <f t="shared" si="2"/>
        <v>1.18</v>
      </c>
      <c r="M32" s="16">
        <v>18</v>
      </c>
      <c r="N32" s="15">
        <f t="shared" si="3"/>
        <v>19.18</v>
      </c>
      <c r="O32" s="15"/>
      <c r="P32" s="16">
        <v>82.43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ht="15" customHeight="1" x14ac:dyDescent="0.15">
      <c r="A33" s="2">
        <f t="shared" si="4"/>
        <v>26</v>
      </c>
      <c r="B33" s="3" t="s">
        <v>52</v>
      </c>
      <c r="C33" s="4" t="s">
        <v>53</v>
      </c>
      <c r="D33" s="12" t="s">
        <v>13</v>
      </c>
      <c r="E33" s="15"/>
      <c r="F33" s="15"/>
      <c r="G33" s="15">
        <f t="shared" si="0"/>
        <v>0</v>
      </c>
      <c r="H33" s="15">
        <v>1.18</v>
      </c>
      <c r="I33" s="16">
        <f t="shared" si="1"/>
        <v>1.18</v>
      </c>
      <c r="J33" s="15"/>
      <c r="K33" s="15"/>
      <c r="L33" s="15">
        <f t="shared" si="2"/>
        <v>1.18</v>
      </c>
      <c r="M33" s="16">
        <v>18</v>
      </c>
      <c r="N33" s="15">
        <f t="shared" si="3"/>
        <v>19.18</v>
      </c>
      <c r="O33" s="15"/>
      <c r="P33" s="16">
        <v>82.43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ht="15" customHeight="1" x14ac:dyDescent="0.15">
      <c r="A34" s="2">
        <f t="shared" si="4"/>
        <v>27</v>
      </c>
      <c r="B34" s="3" t="s">
        <v>54</v>
      </c>
      <c r="C34" s="4" t="s">
        <v>53</v>
      </c>
      <c r="D34" s="12" t="s">
        <v>16</v>
      </c>
      <c r="E34" s="15"/>
      <c r="F34" s="15"/>
      <c r="G34" s="15">
        <f t="shared" si="0"/>
        <v>0</v>
      </c>
      <c r="H34" s="15">
        <v>1.18</v>
      </c>
      <c r="I34" s="16">
        <f t="shared" si="1"/>
        <v>1.18</v>
      </c>
      <c r="J34" s="15"/>
      <c r="K34" s="15"/>
      <c r="L34" s="15">
        <f t="shared" si="2"/>
        <v>1.18</v>
      </c>
      <c r="M34" s="16">
        <v>18</v>
      </c>
      <c r="N34" s="15">
        <f t="shared" si="3"/>
        <v>19.18</v>
      </c>
      <c r="O34" s="15"/>
      <c r="P34" s="16">
        <v>82.43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15" customHeight="1" x14ac:dyDescent="0.15">
      <c r="A35" s="2">
        <f t="shared" si="4"/>
        <v>28</v>
      </c>
      <c r="B35" s="3" t="s">
        <v>55</v>
      </c>
      <c r="C35" s="4" t="s">
        <v>56</v>
      </c>
      <c r="D35" s="12" t="s">
        <v>16</v>
      </c>
      <c r="E35" s="15"/>
      <c r="F35" s="15"/>
      <c r="G35" s="15">
        <f t="shared" si="0"/>
        <v>0</v>
      </c>
      <c r="H35" s="15">
        <v>1.18</v>
      </c>
      <c r="I35" s="16">
        <f t="shared" si="1"/>
        <v>1.18</v>
      </c>
      <c r="J35" s="15"/>
      <c r="K35" s="15"/>
      <c r="L35" s="15">
        <f t="shared" si="2"/>
        <v>1.18</v>
      </c>
      <c r="M35" s="16">
        <v>18</v>
      </c>
      <c r="N35" s="15">
        <f t="shared" si="3"/>
        <v>19.18</v>
      </c>
      <c r="O35" s="15"/>
      <c r="P35" s="16">
        <v>82.43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5" customHeight="1" x14ac:dyDescent="0.15">
      <c r="A36" s="2">
        <f t="shared" si="4"/>
        <v>29</v>
      </c>
      <c r="B36" s="3" t="s">
        <v>57</v>
      </c>
      <c r="C36" s="4" t="s">
        <v>58</v>
      </c>
      <c r="D36" s="12" t="s">
        <v>16</v>
      </c>
      <c r="E36" s="15"/>
      <c r="F36" s="15"/>
      <c r="G36" s="15">
        <f t="shared" si="0"/>
        <v>0</v>
      </c>
      <c r="H36" s="15">
        <v>1.18</v>
      </c>
      <c r="I36" s="16">
        <f t="shared" si="1"/>
        <v>1.18</v>
      </c>
      <c r="J36" s="15"/>
      <c r="K36" s="15"/>
      <c r="L36" s="15">
        <f t="shared" si="2"/>
        <v>1.18</v>
      </c>
      <c r="M36" s="16">
        <v>18</v>
      </c>
      <c r="N36" s="15">
        <f t="shared" si="3"/>
        <v>19.18</v>
      </c>
      <c r="O36" s="15"/>
      <c r="P36" s="16">
        <v>82.43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15" customHeight="1" x14ac:dyDescent="0.15">
      <c r="A37" s="2">
        <f t="shared" si="4"/>
        <v>30</v>
      </c>
      <c r="B37" s="3" t="s">
        <v>59</v>
      </c>
      <c r="C37" s="4" t="s">
        <v>60</v>
      </c>
      <c r="D37" s="12" t="s">
        <v>13</v>
      </c>
      <c r="E37" s="15"/>
      <c r="F37" s="15"/>
      <c r="G37" s="15">
        <f t="shared" si="0"/>
        <v>0</v>
      </c>
      <c r="H37" s="15">
        <v>1.18</v>
      </c>
      <c r="I37" s="16">
        <f t="shared" si="1"/>
        <v>1.18</v>
      </c>
      <c r="J37" s="15"/>
      <c r="K37" s="15"/>
      <c r="L37" s="15">
        <f t="shared" si="2"/>
        <v>1.18</v>
      </c>
      <c r="M37" s="16">
        <v>18</v>
      </c>
      <c r="N37" s="15">
        <f t="shared" si="3"/>
        <v>19.18</v>
      </c>
      <c r="O37" s="15"/>
      <c r="P37" s="16">
        <v>82.43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15" customHeight="1" x14ac:dyDescent="0.15">
      <c r="A38" s="2">
        <f t="shared" si="4"/>
        <v>31</v>
      </c>
      <c r="B38" s="3" t="s">
        <v>61</v>
      </c>
      <c r="C38" s="4" t="s">
        <v>62</v>
      </c>
      <c r="D38" s="12" t="s">
        <v>13</v>
      </c>
      <c r="E38" s="15"/>
      <c r="F38" s="15"/>
      <c r="G38" s="15">
        <f t="shared" si="0"/>
        <v>0</v>
      </c>
      <c r="H38" s="15">
        <v>1.18</v>
      </c>
      <c r="I38" s="16">
        <f t="shared" si="1"/>
        <v>1.18</v>
      </c>
      <c r="J38" s="15"/>
      <c r="K38" s="15"/>
      <c r="L38" s="15">
        <f t="shared" si="2"/>
        <v>1.18</v>
      </c>
      <c r="M38" s="16">
        <v>18</v>
      </c>
      <c r="N38" s="15">
        <f t="shared" si="3"/>
        <v>19.18</v>
      </c>
      <c r="O38" s="15"/>
      <c r="P38" s="16">
        <v>82.43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15" customHeight="1" x14ac:dyDescent="0.15">
      <c r="A39" s="2">
        <f t="shared" si="4"/>
        <v>32</v>
      </c>
      <c r="B39" s="4" t="s">
        <v>63</v>
      </c>
      <c r="C39" s="4"/>
      <c r="D39" s="12" t="s">
        <v>16</v>
      </c>
      <c r="E39" s="15"/>
      <c r="F39" s="15"/>
      <c r="G39" s="15">
        <f t="shared" si="0"/>
        <v>0</v>
      </c>
      <c r="H39" s="15">
        <v>1.18</v>
      </c>
      <c r="I39" s="16">
        <f t="shared" si="1"/>
        <v>1.18</v>
      </c>
      <c r="J39" s="15"/>
      <c r="K39" s="15"/>
      <c r="L39" s="15">
        <f t="shared" si="2"/>
        <v>1.18</v>
      </c>
      <c r="M39" s="16">
        <v>18</v>
      </c>
      <c r="N39" s="15">
        <f t="shared" si="3"/>
        <v>19.18</v>
      </c>
      <c r="O39" s="15"/>
      <c r="P39" s="16">
        <v>82.43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ht="15" customHeight="1" x14ac:dyDescent="0.15">
      <c r="A40" s="2">
        <f t="shared" si="4"/>
        <v>33</v>
      </c>
      <c r="B40" s="4" t="s">
        <v>64</v>
      </c>
      <c r="C40" s="4" t="s">
        <v>31</v>
      </c>
      <c r="D40" s="12" t="s">
        <v>13</v>
      </c>
      <c r="E40" s="15"/>
      <c r="F40" s="15"/>
      <c r="G40" s="15">
        <f t="shared" si="0"/>
        <v>0</v>
      </c>
      <c r="H40" s="15">
        <v>1.18</v>
      </c>
      <c r="I40" s="16">
        <f t="shared" si="1"/>
        <v>1.18</v>
      </c>
      <c r="J40" s="15"/>
      <c r="K40" s="15"/>
      <c r="L40" s="15">
        <f t="shared" si="2"/>
        <v>1.18</v>
      </c>
      <c r="M40" s="16">
        <v>18</v>
      </c>
      <c r="N40" s="15">
        <f t="shared" si="3"/>
        <v>19.18</v>
      </c>
      <c r="O40" s="15"/>
      <c r="P40" s="16">
        <v>82.43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ht="15" customHeight="1" x14ac:dyDescent="0.15">
      <c r="A41" s="2">
        <f t="shared" si="4"/>
        <v>34</v>
      </c>
      <c r="B41" s="4" t="s">
        <v>65</v>
      </c>
      <c r="C41" s="4" t="s">
        <v>66</v>
      </c>
      <c r="D41" s="12" t="s">
        <v>13</v>
      </c>
      <c r="E41" s="15"/>
      <c r="F41" s="15"/>
      <c r="G41" s="15">
        <f t="shared" si="0"/>
        <v>0</v>
      </c>
      <c r="H41" s="15">
        <v>1.18</v>
      </c>
      <c r="I41" s="16">
        <f t="shared" si="1"/>
        <v>1.18</v>
      </c>
      <c r="J41" s="15"/>
      <c r="K41" s="15"/>
      <c r="L41" s="15">
        <f t="shared" si="2"/>
        <v>1.18</v>
      </c>
      <c r="M41" s="16">
        <v>18</v>
      </c>
      <c r="N41" s="15">
        <f t="shared" si="3"/>
        <v>19.18</v>
      </c>
      <c r="O41" s="15"/>
      <c r="P41" s="16">
        <v>82.43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ht="15" customHeight="1" x14ac:dyDescent="0.15">
      <c r="A42" s="2">
        <f t="shared" si="4"/>
        <v>35</v>
      </c>
      <c r="B42" s="4" t="s">
        <v>67</v>
      </c>
      <c r="C42" s="4" t="s">
        <v>66</v>
      </c>
      <c r="D42" s="12" t="s">
        <v>13</v>
      </c>
      <c r="E42" s="15"/>
      <c r="F42" s="15"/>
      <c r="G42" s="15">
        <f t="shared" si="0"/>
        <v>0</v>
      </c>
      <c r="H42" s="15">
        <v>1.18</v>
      </c>
      <c r="I42" s="16">
        <f t="shared" si="1"/>
        <v>1.18</v>
      </c>
      <c r="J42" s="15"/>
      <c r="K42" s="15"/>
      <c r="L42" s="15">
        <f t="shared" si="2"/>
        <v>1.18</v>
      </c>
      <c r="M42" s="16">
        <v>18</v>
      </c>
      <c r="N42" s="15">
        <f t="shared" si="3"/>
        <v>19.18</v>
      </c>
      <c r="O42" s="15"/>
      <c r="P42" s="16">
        <v>82.43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15" customHeight="1" x14ac:dyDescent="0.15">
      <c r="A43" s="2">
        <f t="shared" si="4"/>
        <v>36</v>
      </c>
      <c r="B43" s="4" t="s">
        <v>68</v>
      </c>
      <c r="C43" s="4" t="s">
        <v>66</v>
      </c>
      <c r="D43" s="12" t="s">
        <v>16</v>
      </c>
      <c r="E43" s="15"/>
      <c r="F43" s="15"/>
      <c r="G43" s="15">
        <f t="shared" si="0"/>
        <v>0</v>
      </c>
      <c r="H43" s="15">
        <v>1.18</v>
      </c>
      <c r="I43" s="16">
        <f t="shared" si="1"/>
        <v>1.18</v>
      </c>
      <c r="J43" s="15"/>
      <c r="K43" s="15"/>
      <c r="L43" s="15">
        <f t="shared" si="2"/>
        <v>1.18</v>
      </c>
      <c r="M43" s="16">
        <v>18</v>
      </c>
      <c r="N43" s="15">
        <f t="shared" si="3"/>
        <v>19.18</v>
      </c>
      <c r="O43" s="15"/>
      <c r="P43" s="16">
        <v>82.43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15" customHeight="1" x14ac:dyDescent="0.15">
      <c r="A44" s="2">
        <f t="shared" si="4"/>
        <v>37</v>
      </c>
      <c r="B44" s="4" t="s">
        <v>69</v>
      </c>
      <c r="C44" s="4" t="s">
        <v>70</v>
      </c>
      <c r="D44" s="12" t="s">
        <v>13</v>
      </c>
      <c r="E44" s="15"/>
      <c r="F44" s="15"/>
      <c r="G44" s="15">
        <f t="shared" si="0"/>
        <v>0</v>
      </c>
      <c r="H44" s="15">
        <v>1.18</v>
      </c>
      <c r="I44" s="16">
        <f t="shared" si="1"/>
        <v>1.18</v>
      </c>
      <c r="J44" s="15"/>
      <c r="K44" s="15"/>
      <c r="L44" s="15">
        <f t="shared" si="2"/>
        <v>1.18</v>
      </c>
      <c r="M44" s="16">
        <v>18</v>
      </c>
      <c r="N44" s="15">
        <f t="shared" si="3"/>
        <v>19.18</v>
      </c>
      <c r="O44" s="15"/>
      <c r="P44" s="16">
        <v>82.43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15" customHeight="1" x14ac:dyDescent="0.15">
      <c r="A45" s="2">
        <f t="shared" si="4"/>
        <v>38</v>
      </c>
      <c r="B45" s="4" t="s">
        <v>71</v>
      </c>
      <c r="C45" s="4" t="s">
        <v>70</v>
      </c>
      <c r="D45" s="12" t="s">
        <v>13</v>
      </c>
      <c r="E45" s="15"/>
      <c r="F45" s="15"/>
      <c r="G45" s="15">
        <f t="shared" si="0"/>
        <v>0</v>
      </c>
      <c r="H45" s="15">
        <v>1.18</v>
      </c>
      <c r="I45" s="16">
        <f t="shared" si="1"/>
        <v>1.18</v>
      </c>
      <c r="J45" s="15"/>
      <c r="K45" s="15"/>
      <c r="L45" s="15">
        <f t="shared" si="2"/>
        <v>1.18</v>
      </c>
      <c r="M45" s="16">
        <v>18</v>
      </c>
      <c r="N45" s="15">
        <f t="shared" si="3"/>
        <v>19.18</v>
      </c>
      <c r="O45" s="15"/>
      <c r="P45" s="16">
        <v>82.43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ht="15" customHeight="1" x14ac:dyDescent="0.15">
      <c r="A46" s="2">
        <f t="shared" si="4"/>
        <v>39</v>
      </c>
      <c r="B46" s="4" t="s">
        <v>72</v>
      </c>
      <c r="C46" s="4" t="s">
        <v>31</v>
      </c>
      <c r="D46" s="12" t="s">
        <v>13</v>
      </c>
      <c r="E46" s="15"/>
      <c r="F46" s="15"/>
      <c r="G46" s="15">
        <f t="shared" si="0"/>
        <v>0</v>
      </c>
      <c r="H46" s="15">
        <v>1.18</v>
      </c>
      <c r="I46" s="16">
        <f t="shared" si="1"/>
        <v>1.18</v>
      </c>
      <c r="J46" s="15"/>
      <c r="K46" s="15"/>
      <c r="L46" s="15">
        <f t="shared" si="2"/>
        <v>1.18</v>
      </c>
      <c r="M46" s="16">
        <v>18</v>
      </c>
      <c r="N46" s="15">
        <f t="shared" si="3"/>
        <v>19.18</v>
      </c>
      <c r="O46" s="15"/>
      <c r="P46" s="16">
        <v>82.43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PMG Master</vt:lpstr>
      <vt:lpstr>HSD Master</vt:lpstr>
      <vt:lpstr>PMG SAP ATA</vt:lpstr>
      <vt:lpstr>HSD SAP ATA</vt:lpstr>
      <vt:lpstr>Sheet1</vt:lpstr>
      <vt:lpstr>supply points</vt:lpstr>
      <vt:lpstr>SKO</vt:lpstr>
      <vt:lpstr>LDO</vt:lpstr>
      <vt:lpstr>'HSD Master'!Print_Area</vt:lpstr>
      <vt:lpstr>'HSD SAP ATA'!Print_Area</vt:lpstr>
      <vt:lpstr>'PMG Master'!Print_Area</vt:lpstr>
      <vt:lpstr>'PMG SAP ATA'!Print_Area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Naveed Minhas</cp:lastModifiedBy>
  <cp:lastPrinted>2020-02-29T19:21:40Z</cp:lastPrinted>
  <dcterms:created xsi:type="dcterms:W3CDTF">2019-12-01T18:46:50Z</dcterms:created>
  <dcterms:modified xsi:type="dcterms:W3CDTF">2024-12-30T14:44:33Z</dcterms:modified>
</cp:coreProperties>
</file>